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https://wshfc1-my.sharepoint.com/personal/sojung_choi_wshfc_org/Documents/Desktop/"/>
    </mc:Choice>
  </mc:AlternateContent>
  <xr:revisionPtr revIDLastSave="0" documentId="8_{F0110C52-7F9A-41D2-8595-063B8E389C85}" xr6:coauthVersionLast="47" xr6:coauthVersionMax="47" xr10:uidLastSave="{00000000-0000-0000-0000-000000000000}"/>
  <bookViews>
    <workbookView xWindow="2380" yWindow="500" windowWidth="12360" windowHeight="14950" firstSheet="1" activeTab="1" xr2:uid="{3ED760E7-F010-4DBA-97EC-E1A753825AFA}"/>
  </bookViews>
  <sheets>
    <sheet name="Calc Sheet Helper" sheetId="27" state="hidden" r:id="rId1"/>
    <sheet name="LIHTC Scoring" sheetId="9" r:id="rId2"/>
    <sheet name="_OtherList" sheetId="25" state="hidden" r:id="rId3"/>
    <sheet name="_ScoringList" sheetId="10" state="hidden" r:id="rId4"/>
    <sheet name="_ScoringList_SetAside" sheetId="26" state="hidden" r:id="rId5"/>
    <sheet name="LIHTC Rents" sheetId="19" r:id="rId6"/>
    <sheet name="TDC Limit" sheetId="5" r:id="rId7"/>
    <sheet name="Rents Insert" sheetId="22" state="hidden" r:id="rId8"/>
    <sheet name="LIHTC Pro Forma" sheetId="21" r:id="rId9"/>
    <sheet name="Pro Forma Insert" sheetId="23" state="hidden" r:id="rId10"/>
    <sheet name="OPF YbY Insert" sheetId="24" state="hidden" r:id="rId11"/>
    <sheet name="Applicable Fraction" sheetId="8" r:id="rId12"/>
    <sheet name="Acquisition Credit" sheetId="11" r:id="rId13"/>
    <sheet name="Historic TCs" sheetId="13" r:id="rId14"/>
    <sheet name="Admin Requirements" sheetId="6" r:id="rId15"/>
    <sheet name="Signature Page" sheetId="7" state="hidden" r:id="rId16"/>
  </sheets>
  <definedNames>
    <definedName name="_AdditionalLihUsePeriod" comment="Used to calculate Additional Low-Income Housing Use score">'LIHTC Scoring'!$E$32</definedName>
    <definedName name="_SetAsideCombination" comment="Used to calculated Additional Low-Income Housing Commitment score">'LIHTC Scoring'!$H$18</definedName>
    <definedName name="DevFees">_ScoringList!$B$194:$B$200</definedName>
    <definedName name="eligible_tribes">_ScoringList!$B$214:$B$229</definedName>
    <definedName name="energyEfficiency">_ScoringList!$B$392:$B$393</definedName>
    <definedName name="ETO">_ScoringList!$B$404:$B$405</definedName>
    <definedName name="federal_funding_sources">_ScoringList!$B$175:$B$181</definedName>
    <definedName name="higher_income">_ScoringList!$B$2:$B$19</definedName>
    <definedName name="Historic">_ScoringList!$B$207:$B$209</definedName>
    <definedName name="Homeless75">_ScoringList!$B$121:$B$123</definedName>
    <definedName name="in_within">_ScoringList!$B$251:$B$254</definedName>
    <definedName name="Inc_Higher">_ScoringList!$B$22:$B$39</definedName>
    <definedName name="Inc_Lower">_ScoringList!$B$66:$B$83</definedName>
    <definedName name="Inc_percent">_ScoringList!$B$85:$B$94</definedName>
    <definedName name="KC_HTF">_ScoringList!$B$183:$B$185</definedName>
    <definedName name="KC_only">_ScoringList!$B$239:$B$242</definedName>
    <definedName name="KC_OppArea">_ScoringList!$B$245:$B$248</definedName>
    <definedName name="local_funding_counties">_ScoringList!$B$142:$B$149</definedName>
    <definedName name="local_funding_sources">_ScoringList!$B$152:$B$164</definedName>
    <definedName name="local_funding_types">_ScoringList!$B$167:$B$173</definedName>
    <definedName name="location_eff">_ScoringList!$B$233:$B$236</definedName>
    <definedName name="lower_income">_ScoringList!$B$41:$B$64</definedName>
    <definedName name="npDonation">_ScoringList!$B$386:$B$388</definedName>
    <definedName name="NPSponsor">_ScoringList!$B$372:$B$375</definedName>
    <definedName name="PBRA_units">_ScoringList!$B$187:$B$190</definedName>
    <definedName name="_xlnm.Print_Area" localSheetId="12">'Acquisition Credit'!$A$1:$I$38</definedName>
    <definedName name="_xlnm.Print_Area" localSheetId="14">'Admin Requirements'!$A$1:$J$41</definedName>
    <definedName name="_xlnm.Print_Area" localSheetId="11">'Applicable Fraction'!$A$1:$L$20</definedName>
    <definedName name="_xlnm.Print_Area" localSheetId="8">'LIHTC Pro Forma'!$A$1:$O$140</definedName>
    <definedName name="_xlnm.Print_Area" localSheetId="5">'LIHTC Rents'!$A$1:$L$18</definedName>
    <definedName name="_xlnm.Print_Area" localSheetId="1">'LIHTC Scoring'!$A$1:$M$242</definedName>
    <definedName name="_xlnm.Print_Area" localSheetId="6">'TDC Limit'!$A$1:$N$51</definedName>
    <definedName name="SpecNeeds20">_ScoringList!$B$132:$B$139</definedName>
    <definedName name="TDC_limit">_ScoringList!$B$379:$B$380</definedName>
    <definedName name="Years">_ScoringList!$B$97:$B$118</definedName>
    <definedName name="Z_1B6CD137_2613_4D41_AC2A_F2F894E3C087_.wvu.PrintArea" localSheetId="5" hidden="1">'LIHTC Rents'!$A$1:$M$19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9" i="9" l="1"/>
  <c r="M28" i="9"/>
  <c r="M14" i="9"/>
  <c r="M215" i="9"/>
  <c r="M208" i="9"/>
  <c r="M202" i="9"/>
  <c r="M195" i="9"/>
  <c r="M189" i="9" a="1"/>
  <c r="M189" i="9" s="1"/>
  <c r="M182" i="9"/>
  <c r="M175" i="9"/>
  <c r="L2" i="27" l="1"/>
  <c r="F2" i="27"/>
  <c r="E2" i="27"/>
  <c r="D2" i="27"/>
  <c r="C2" i="27"/>
  <c r="B2" i="27"/>
  <c r="M112" i="9"/>
  <c r="C3" i="22" l="1"/>
  <c r="C4" i="22"/>
  <c r="C5" i="22"/>
  <c r="C6" i="22"/>
  <c r="C7" i="22"/>
  <c r="C8" i="22"/>
  <c r="C9" i="22"/>
  <c r="C2" i="22"/>
  <c r="H19" i="8" l="1"/>
  <c r="E19" i="8"/>
  <c r="E8" i="8"/>
  <c r="E9" i="8"/>
  <c r="E10" i="8"/>
  <c r="E11" i="8"/>
  <c r="E12" i="8"/>
  <c r="E13" i="8"/>
  <c r="E14" i="8"/>
  <c r="E15" i="8"/>
  <c r="E16" i="8"/>
  <c r="E17" i="8"/>
  <c r="E18" i="8"/>
  <c r="E7" i="8"/>
  <c r="H45" i="21"/>
  <c r="L102" i="21"/>
  <c r="H107" i="21"/>
  <c r="I97" i="21"/>
  <c r="I113" i="21"/>
  <c r="J113" i="21" s="1"/>
  <c r="K113" i="21" s="1"/>
  <c r="L113" i="21" s="1"/>
  <c r="M113" i="21" s="1"/>
  <c r="N113" i="21" s="1"/>
  <c r="I114" i="21"/>
  <c r="J114" i="21" s="1"/>
  <c r="K114" i="21" s="1"/>
  <c r="L114" i="21" s="1"/>
  <c r="M114" i="21" s="1"/>
  <c r="N114" i="21" s="1"/>
  <c r="H114" i="21"/>
  <c r="H113" i="21"/>
  <c r="G114" i="21"/>
  <c r="G113" i="21"/>
  <c r="J47" i="21"/>
  <c r="K47" i="21"/>
  <c r="L47" i="21"/>
  <c r="M47" i="21"/>
  <c r="N47" i="21"/>
  <c r="J48" i="21"/>
  <c r="K48" i="21"/>
  <c r="L48" i="21"/>
  <c r="M48" i="21"/>
  <c r="N48" i="21"/>
  <c r="I48" i="21"/>
  <c r="I47" i="21"/>
  <c r="I16" i="21" l="1"/>
  <c r="J16" i="21" s="1"/>
  <c r="K16" i="21" s="1"/>
  <c r="L16" i="21" s="1"/>
  <c r="M16" i="21" s="1"/>
  <c r="N16" i="21" s="1"/>
  <c r="G82" i="21" s="1"/>
  <c r="H82" i="21" s="1"/>
  <c r="I82" i="21" s="1"/>
  <c r="J82" i="21" s="1"/>
  <c r="K82" i="21" s="1"/>
  <c r="L82" i="21" s="1"/>
  <c r="M82" i="21" s="1"/>
  <c r="N82" i="21" s="1"/>
  <c r="I15" i="21"/>
  <c r="J15" i="21" s="1"/>
  <c r="K15" i="21" s="1"/>
  <c r="L15" i="21" s="1"/>
  <c r="M15" i="21" s="1"/>
  <c r="N15" i="21" s="1"/>
  <c r="G81" i="21" s="1"/>
  <c r="H81" i="21" s="1"/>
  <c r="I81" i="21" s="1"/>
  <c r="J81" i="21" s="1"/>
  <c r="K81" i="21" s="1"/>
  <c r="L81" i="21" s="1"/>
  <c r="M81" i="21" s="1"/>
  <c r="N81" i="21" s="1"/>
  <c r="M22" i="5" l="1"/>
  <c r="L22" i="5"/>
  <c r="I22" i="5"/>
  <c r="H22" i="5"/>
  <c r="G22" i="5"/>
  <c r="M19" i="5"/>
  <c r="K2" i="27" s="1"/>
  <c r="L19" i="5"/>
  <c r="J2" i="27" s="1"/>
  <c r="I19" i="5"/>
  <c r="I2" i="27" s="1"/>
  <c r="H19" i="5"/>
  <c r="H2" i="27" s="1"/>
  <c r="G19" i="5"/>
  <c r="O17" i="9"/>
  <c r="D17" i="9" s="1" a="1"/>
  <c r="D17" i="9" s="1"/>
  <c r="G194" i="9"/>
  <c r="M154" i="9"/>
  <c r="M148" i="9"/>
  <c r="M125" i="9"/>
  <c r="K87" i="9"/>
  <c r="K89" i="9" s="1"/>
  <c r="M63" i="9"/>
  <c r="M161" i="9"/>
  <c r="M168" i="9"/>
  <c r="O40" i="9"/>
  <c r="O47" i="9"/>
  <c r="O55" i="9"/>
  <c r="O53" i="9"/>
  <c r="G21" i="5" l="1"/>
  <c r="G2" i="27"/>
  <c r="O22" i="5"/>
  <c r="O57" i="9"/>
  <c r="M34" i="9" s="1" a="1"/>
  <c r="M34" i="9" s="1"/>
  <c r="B3" i="22" l="1"/>
  <c r="D3" i="22"/>
  <c r="E3" i="22"/>
  <c r="F3" i="22"/>
  <c r="G3" i="22"/>
  <c r="H3" i="22"/>
  <c r="B4" i="22"/>
  <c r="D4" i="22"/>
  <c r="E4" i="22"/>
  <c r="F4" i="22"/>
  <c r="G4" i="22"/>
  <c r="H4" i="22"/>
  <c r="B5" i="22"/>
  <c r="D5" i="22"/>
  <c r="E5" i="22"/>
  <c r="F5" i="22"/>
  <c r="G5" i="22"/>
  <c r="H5" i="22"/>
  <c r="I5" i="22"/>
  <c r="B6" i="22"/>
  <c r="D6" i="22"/>
  <c r="E6" i="22"/>
  <c r="F6" i="22"/>
  <c r="G6" i="22"/>
  <c r="H6" i="22"/>
  <c r="I6" i="22"/>
  <c r="B7" i="22"/>
  <c r="D7" i="22"/>
  <c r="E7" i="22"/>
  <c r="F7" i="22"/>
  <c r="G7" i="22"/>
  <c r="H7" i="22"/>
  <c r="I7" i="22"/>
  <c r="B8" i="22"/>
  <c r="D8" i="22"/>
  <c r="E8" i="22"/>
  <c r="F8" i="22"/>
  <c r="G8" i="22"/>
  <c r="H8" i="22"/>
  <c r="I8" i="22"/>
  <c r="B9" i="22"/>
  <c r="D9" i="22"/>
  <c r="E9" i="22"/>
  <c r="F9" i="22"/>
  <c r="G9" i="22"/>
  <c r="H9" i="22"/>
  <c r="I9" i="22"/>
  <c r="K99" i="9" l="1"/>
  <c r="K101" i="9" s="1"/>
  <c r="M95" i="9" s="1"/>
  <c r="T2" i="23"/>
  <c r="S2" i="23"/>
  <c r="R2" i="23"/>
  <c r="Q2" i="23"/>
  <c r="P2" i="23"/>
  <c r="O2" i="23"/>
  <c r="N2" i="23"/>
  <c r="M2" i="23"/>
  <c r="L2" i="23"/>
  <c r="K2" i="23"/>
  <c r="AK8" i="24"/>
  <c r="AK7" i="24"/>
  <c r="AK6" i="24"/>
  <c r="AK5" i="24"/>
  <c r="AK4" i="24"/>
  <c r="AK3" i="24"/>
  <c r="AK2" i="24"/>
  <c r="AK16" i="24"/>
  <c r="AK15" i="24"/>
  <c r="AK14" i="24"/>
  <c r="AK13" i="24"/>
  <c r="AK12" i="24"/>
  <c r="AK11" i="24"/>
  <c r="AK10" i="24"/>
  <c r="AK9" i="24"/>
  <c r="AJ16" i="24"/>
  <c r="AJ15" i="24"/>
  <c r="AJ14" i="24"/>
  <c r="AJ13" i="24"/>
  <c r="AJ12" i="24"/>
  <c r="AJ11" i="24"/>
  <c r="AJ10" i="24"/>
  <c r="AJ9" i="24"/>
  <c r="AI16" i="24"/>
  <c r="AI15" i="24"/>
  <c r="AI14" i="24"/>
  <c r="AI13" i="24"/>
  <c r="AI12" i="24"/>
  <c r="AI11" i="24"/>
  <c r="AI10" i="24"/>
  <c r="AI9" i="24"/>
  <c r="AH16" i="24"/>
  <c r="AH15" i="24"/>
  <c r="AH14" i="24"/>
  <c r="AH13" i="24"/>
  <c r="AH12" i="24"/>
  <c r="AH11" i="24"/>
  <c r="AH10" i="24"/>
  <c r="AH9" i="24"/>
  <c r="AG16" i="24"/>
  <c r="AG15" i="24"/>
  <c r="AG14" i="24"/>
  <c r="AG13" i="24"/>
  <c r="AG12" i="24"/>
  <c r="AG11" i="24"/>
  <c r="AG10" i="24"/>
  <c r="AG9" i="24"/>
  <c r="AJ8" i="24"/>
  <c r="AJ7" i="24"/>
  <c r="AJ6" i="24"/>
  <c r="AJ5" i="24"/>
  <c r="AJ4" i="24"/>
  <c r="AJ3" i="24"/>
  <c r="AJ2" i="24"/>
  <c r="AI7" i="24"/>
  <c r="AI8" i="24"/>
  <c r="AI6" i="24"/>
  <c r="AI5" i="24"/>
  <c r="AI4" i="24"/>
  <c r="AI3" i="24"/>
  <c r="AI2" i="24"/>
  <c r="AH8" i="24"/>
  <c r="AH7" i="24"/>
  <c r="AH6" i="24"/>
  <c r="AH5" i="24"/>
  <c r="AH4" i="24"/>
  <c r="AH3" i="24"/>
  <c r="AH2" i="24"/>
  <c r="AG8" i="24"/>
  <c r="AG7" i="24"/>
  <c r="AG6" i="24"/>
  <c r="AG5" i="24"/>
  <c r="AG4" i="24"/>
  <c r="AG3" i="24"/>
  <c r="AG2" i="24"/>
  <c r="AD16" i="24"/>
  <c r="AD15" i="24"/>
  <c r="AD14" i="24"/>
  <c r="AD13" i="24"/>
  <c r="AD12" i="24"/>
  <c r="AD11" i="24"/>
  <c r="AD10" i="24"/>
  <c r="AD9" i="24"/>
  <c r="AD8" i="24"/>
  <c r="AD7" i="24"/>
  <c r="AD6" i="24"/>
  <c r="AD5" i="24"/>
  <c r="AD4" i="24"/>
  <c r="AD3" i="24"/>
  <c r="AD2" i="24"/>
  <c r="AC16" i="24"/>
  <c r="AC15" i="24"/>
  <c r="AC14" i="24"/>
  <c r="AC13" i="24"/>
  <c r="AC12" i="24"/>
  <c r="AC11" i="24"/>
  <c r="AC10" i="24"/>
  <c r="AC9" i="24"/>
  <c r="AB16" i="24"/>
  <c r="AB15" i="24"/>
  <c r="AB14" i="24"/>
  <c r="AB13" i="24"/>
  <c r="AB12" i="24"/>
  <c r="AB11" i="24"/>
  <c r="AB10" i="24"/>
  <c r="AB9" i="24"/>
  <c r="AC8" i="24"/>
  <c r="AC7" i="24"/>
  <c r="AC6" i="24"/>
  <c r="AC5" i="24"/>
  <c r="AC4" i="24"/>
  <c r="AC3" i="24"/>
  <c r="AC2" i="24"/>
  <c r="AB8" i="24"/>
  <c r="AB7" i="24"/>
  <c r="AB6" i="24"/>
  <c r="AB5" i="24"/>
  <c r="AB4" i="24"/>
  <c r="AB3" i="24"/>
  <c r="AB2" i="24"/>
  <c r="AA2" i="24"/>
  <c r="Z2" i="24"/>
  <c r="Y2" i="24"/>
  <c r="X2" i="24"/>
  <c r="W2" i="24"/>
  <c r="V2" i="24"/>
  <c r="U2" i="24"/>
  <c r="T2" i="24"/>
  <c r="S2" i="24"/>
  <c r="R2" i="24"/>
  <c r="Q2" i="24"/>
  <c r="P2" i="24"/>
  <c r="O2" i="24"/>
  <c r="N2" i="24"/>
  <c r="M2" i="24"/>
  <c r="L2" i="24"/>
  <c r="K2" i="24"/>
  <c r="J2" i="24"/>
  <c r="I2" i="24"/>
  <c r="H2" i="24"/>
  <c r="G2" i="24"/>
  <c r="F2" i="24"/>
  <c r="E2" i="24"/>
  <c r="D16" i="24"/>
  <c r="D15" i="24"/>
  <c r="D14" i="24"/>
  <c r="D13" i="24"/>
  <c r="D12" i="24"/>
  <c r="D11" i="24"/>
  <c r="D10" i="24"/>
  <c r="D9" i="24"/>
  <c r="C16" i="24"/>
  <c r="C15" i="24"/>
  <c r="C14" i="24"/>
  <c r="C13" i="24"/>
  <c r="C12" i="24"/>
  <c r="C11" i="24"/>
  <c r="C10" i="24"/>
  <c r="C9" i="24"/>
  <c r="D8" i="24"/>
  <c r="D7" i="24"/>
  <c r="D6" i="24"/>
  <c r="D5" i="24"/>
  <c r="D4" i="24"/>
  <c r="D3" i="24"/>
  <c r="D2" i="24"/>
  <c r="C8" i="24"/>
  <c r="C7" i="24"/>
  <c r="C6" i="24"/>
  <c r="C5" i="24"/>
  <c r="C4" i="24"/>
  <c r="C3" i="24"/>
  <c r="C2" i="24"/>
  <c r="J2" i="23"/>
  <c r="I2" i="23"/>
  <c r="E2" i="23"/>
  <c r="G2" i="23"/>
  <c r="F2" i="23"/>
  <c r="H2" i="23"/>
  <c r="C2" i="23"/>
  <c r="D2" i="23"/>
  <c r="B2" i="23"/>
  <c r="H2" i="22"/>
  <c r="F2" i="22"/>
  <c r="D2" i="22"/>
  <c r="E2" i="22"/>
  <c r="G2" i="22"/>
  <c r="B2" i="22"/>
  <c r="M29" i="5"/>
  <c r="C82" i="21"/>
  <c r="C81" i="21"/>
  <c r="N136" i="21"/>
  <c r="M136" i="21"/>
  <c r="L136" i="21"/>
  <c r="K136" i="21"/>
  <c r="J136" i="21"/>
  <c r="I136" i="21"/>
  <c r="H136" i="21"/>
  <c r="G136" i="21"/>
  <c r="H71" i="21"/>
  <c r="N71" i="21"/>
  <c r="M71" i="21"/>
  <c r="L71" i="21"/>
  <c r="K71" i="21"/>
  <c r="J71" i="21"/>
  <c r="I71" i="21"/>
  <c r="I21" i="5"/>
  <c r="L21" i="5"/>
  <c r="M21" i="5"/>
  <c r="H21" i="5"/>
  <c r="G125" i="21"/>
  <c r="M115" i="21"/>
  <c r="G115" i="21"/>
  <c r="N125" i="21"/>
  <c r="M125" i="21"/>
  <c r="L125" i="21"/>
  <c r="K125" i="21"/>
  <c r="J125" i="21"/>
  <c r="I125" i="21"/>
  <c r="H125" i="21"/>
  <c r="N115" i="21"/>
  <c r="L115" i="21"/>
  <c r="K115" i="21"/>
  <c r="J115" i="21"/>
  <c r="I115" i="21"/>
  <c r="H115" i="21"/>
  <c r="H59" i="21"/>
  <c r="H49" i="21"/>
  <c r="H50" i="21" s="1"/>
  <c r="I29" i="21"/>
  <c r="J29" i="21" s="1"/>
  <c r="K29" i="21" s="1"/>
  <c r="L29" i="21" s="1"/>
  <c r="M29" i="21" s="1"/>
  <c r="N29" i="21" s="1"/>
  <c r="G95" i="21" s="1"/>
  <c r="H95" i="21" s="1"/>
  <c r="I95" i="21" s="1"/>
  <c r="J95" i="21" s="1"/>
  <c r="K95" i="21" s="1"/>
  <c r="L95" i="21" s="1"/>
  <c r="M95" i="21" s="1"/>
  <c r="N95" i="21" s="1"/>
  <c r="I25" i="21"/>
  <c r="J25" i="21" s="1"/>
  <c r="K25" i="21" s="1"/>
  <c r="I26" i="21"/>
  <c r="J26" i="21" s="1"/>
  <c r="K26" i="21" s="1"/>
  <c r="L26" i="21" s="1"/>
  <c r="M26" i="21" s="1"/>
  <c r="N26" i="21" s="1"/>
  <c r="G92" i="21" s="1"/>
  <c r="H92" i="21" s="1"/>
  <c r="I92" i="21" s="1"/>
  <c r="J92" i="21" s="1"/>
  <c r="K92" i="21" s="1"/>
  <c r="L92" i="21" s="1"/>
  <c r="M92" i="21" s="1"/>
  <c r="N92" i="21" s="1"/>
  <c r="I27" i="21"/>
  <c r="J27" i="21" s="1"/>
  <c r="K27" i="21" s="1"/>
  <c r="L27" i="21" s="1"/>
  <c r="M27" i="21" s="1"/>
  <c r="N27" i="21" s="1"/>
  <c r="G93" i="21" s="1"/>
  <c r="H93" i="21" s="1"/>
  <c r="I93" i="21" s="1"/>
  <c r="J93" i="21" s="1"/>
  <c r="K93" i="21" s="1"/>
  <c r="L93" i="21" s="1"/>
  <c r="M93" i="21" s="1"/>
  <c r="N93" i="21" s="1"/>
  <c r="I28" i="21"/>
  <c r="J28" i="21" s="1"/>
  <c r="K28" i="21" s="1"/>
  <c r="L28" i="21" s="1"/>
  <c r="M28" i="21" s="1"/>
  <c r="N28" i="21" s="1"/>
  <c r="G94" i="21" s="1"/>
  <c r="H94" i="21" s="1"/>
  <c r="I94" i="21" s="1"/>
  <c r="J94" i="21" s="1"/>
  <c r="K94" i="21" s="1"/>
  <c r="L94" i="21" s="1"/>
  <c r="M94" i="21" s="1"/>
  <c r="N94" i="21" s="1"/>
  <c r="I30" i="21"/>
  <c r="J30" i="21" s="1"/>
  <c r="K30" i="21" s="1"/>
  <c r="L30" i="21" s="1"/>
  <c r="M30" i="21" s="1"/>
  <c r="N30" i="21" s="1"/>
  <c r="G96" i="21" s="1"/>
  <c r="H96" i="21" s="1"/>
  <c r="I96" i="21" s="1"/>
  <c r="J96" i="21" s="1"/>
  <c r="K96" i="21" s="1"/>
  <c r="L96" i="21" s="1"/>
  <c r="M96" i="21" s="1"/>
  <c r="N96" i="21" s="1"/>
  <c r="I31" i="21"/>
  <c r="J31" i="21" s="1"/>
  <c r="K31" i="21" s="1"/>
  <c r="L31" i="21" s="1"/>
  <c r="M31" i="21" s="1"/>
  <c r="N31" i="21" s="1"/>
  <c r="G97" i="21" s="1"/>
  <c r="H97" i="21" s="1"/>
  <c r="J97" i="21" s="1"/>
  <c r="K97" i="21" s="1"/>
  <c r="L97" i="21" s="1"/>
  <c r="M97" i="21" s="1"/>
  <c r="N97" i="21" s="1"/>
  <c r="I32" i="21"/>
  <c r="J32" i="21" s="1"/>
  <c r="K32" i="21" s="1"/>
  <c r="L32" i="21" s="1"/>
  <c r="M32" i="21" s="1"/>
  <c r="N32" i="21" s="1"/>
  <c r="G98" i="21" s="1"/>
  <c r="H98" i="21" s="1"/>
  <c r="I98" i="21" s="1"/>
  <c r="J98" i="21" s="1"/>
  <c r="K98" i="21" s="1"/>
  <c r="L98" i="21" s="1"/>
  <c r="M98" i="21" s="1"/>
  <c r="N98" i="21" s="1"/>
  <c r="I33" i="21"/>
  <c r="J33" i="21" s="1"/>
  <c r="K33" i="21" s="1"/>
  <c r="L33" i="21" s="1"/>
  <c r="M33" i="21" s="1"/>
  <c r="N33" i="21" s="1"/>
  <c r="G99" i="21" s="1"/>
  <c r="H99" i="21" s="1"/>
  <c r="I99" i="21" s="1"/>
  <c r="J99" i="21" s="1"/>
  <c r="K99" i="21" s="1"/>
  <c r="L99" i="21" s="1"/>
  <c r="M99" i="21" s="1"/>
  <c r="N99" i="21" s="1"/>
  <c r="I34" i="21"/>
  <c r="J34" i="21" s="1"/>
  <c r="K34" i="21" s="1"/>
  <c r="L34" i="21" s="1"/>
  <c r="M34" i="21" s="1"/>
  <c r="N34" i="21" s="1"/>
  <c r="G100" i="21" s="1"/>
  <c r="H100" i="21" s="1"/>
  <c r="I100" i="21" s="1"/>
  <c r="J100" i="21" s="1"/>
  <c r="K100" i="21" s="1"/>
  <c r="L100" i="21" s="1"/>
  <c r="M100" i="21" s="1"/>
  <c r="N100" i="21" s="1"/>
  <c r="I35" i="21"/>
  <c r="J35" i="21" s="1"/>
  <c r="K35" i="21" s="1"/>
  <c r="L35" i="21" s="1"/>
  <c r="M35" i="21" s="1"/>
  <c r="N35" i="21" s="1"/>
  <c r="G101" i="21" s="1"/>
  <c r="H101" i="21" s="1"/>
  <c r="I101" i="21" s="1"/>
  <c r="J101" i="21" s="1"/>
  <c r="K101" i="21" s="1"/>
  <c r="L101" i="21" s="1"/>
  <c r="M101" i="21" s="1"/>
  <c r="N101" i="21" s="1"/>
  <c r="I36" i="21"/>
  <c r="J36" i="21" s="1"/>
  <c r="K36" i="21" s="1"/>
  <c r="L36" i="21" s="1"/>
  <c r="M36" i="21" s="1"/>
  <c r="N36" i="21" s="1"/>
  <c r="G102" i="21" s="1"/>
  <c r="H102" i="21" s="1"/>
  <c r="I102" i="21" s="1"/>
  <c r="J102" i="21" s="1"/>
  <c r="K102" i="21" s="1"/>
  <c r="M102" i="21" s="1"/>
  <c r="N102" i="21" s="1"/>
  <c r="I37" i="21"/>
  <c r="J37" i="21" s="1"/>
  <c r="K37" i="21" s="1"/>
  <c r="L37" i="21" s="1"/>
  <c r="M37" i="21" s="1"/>
  <c r="N37" i="21" s="1"/>
  <c r="G103" i="21" s="1"/>
  <c r="H103" i="21" s="1"/>
  <c r="I103" i="21" s="1"/>
  <c r="J103" i="21" s="1"/>
  <c r="K103" i="21" s="1"/>
  <c r="L103" i="21" s="1"/>
  <c r="M103" i="21" s="1"/>
  <c r="N103" i="21" s="1"/>
  <c r="I38" i="21"/>
  <c r="J38" i="21" s="1"/>
  <c r="K38" i="21" s="1"/>
  <c r="L38" i="21" s="1"/>
  <c r="M38" i="21" s="1"/>
  <c r="N38" i="21" s="1"/>
  <c r="G104" i="21" s="1"/>
  <c r="H104" i="21" s="1"/>
  <c r="I104" i="21" s="1"/>
  <c r="J104" i="21" s="1"/>
  <c r="K104" i="21" s="1"/>
  <c r="L104" i="21" s="1"/>
  <c r="M104" i="21" s="1"/>
  <c r="N104" i="21" s="1"/>
  <c r="I39" i="21"/>
  <c r="J39" i="21" s="1"/>
  <c r="K39" i="21" s="1"/>
  <c r="L39" i="21" s="1"/>
  <c r="M39" i="21" s="1"/>
  <c r="N39" i="21" s="1"/>
  <c r="G105" i="21" s="1"/>
  <c r="H105" i="21" s="1"/>
  <c r="I105" i="21" s="1"/>
  <c r="J105" i="21" s="1"/>
  <c r="K105" i="21" s="1"/>
  <c r="L105" i="21" s="1"/>
  <c r="M105" i="21" s="1"/>
  <c r="N105" i="21" s="1"/>
  <c r="I40" i="21"/>
  <c r="J40" i="21" s="1"/>
  <c r="K40" i="21" s="1"/>
  <c r="L40" i="21" s="1"/>
  <c r="M40" i="21" s="1"/>
  <c r="N40" i="21" s="1"/>
  <c r="G106" i="21" s="1"/>
  <c r="H106" i="21" s="1"/>
  <c r="I106" i="21" s="1"/>
  <c r="J106" i="21" s="1"/>
  <c r="K106" i="21" s="1"/>
  <c r="L106" i="21" s="1"/>
  <c r="M106" i="21" s="1"/>
  <c r="N106" i="21" s="1"/>
  <c r="I41" i="21"/>
  <c r="J41" i="21" s="1"/>
  <c r="K41" i="21" s="1"/>
  <c r="L41" i="21" s="1"/>
  <c r="M41" i="21" s="1"/>
  <c r="N41" i="21" s="1"/>
  <c r="G107" i="21" s="1"/>
  <c r="I107" i="21" s="1"/>
  <c r="J107" i="21" s="1"/>
  <c r="K107" i="21" s="1"/>
  <c r="L107" i="21" s="1"/>
  <c r="M107" i="21" s="1"/>
  <c r="N107" i="21" s="1"/>
  <c r="I42" i="21"/>
  <c r="J42" i="21" s="1"/>
  <c r="K42" i="21" s="1"/>
  <c r="L42" i="21" s="1"/>
  <c r="M42" i="21" s="1"/>
  <c r="N42" i="21" s="1"/>
  <c r="G108" i="21" s="1"/>
  <c r="H108" i="21" s="1"/>
  <c r="I108" i="21" s="1"/>
  <c r="J108" i="21" s="1"/>
  <c r="K108" i="21" s="1"/>
  <c r="L108" i="21" s="1"/>
  <c r="M108" i="21" s="1"/>
  <c r="N108" i="21" s="1"/>
  <c r="I43" i="21"/>
  <c r="J43" i="21" s="1"/>
  <c r="K43" i="21" s="1"/>
  <c r="L43" i="21" s="1"/>
  <c r="M43" i="21" s="1"/>
  <c r="N43" i="21" s="1"/>
  <c r="G109" i="21" s="1"/>
  <c r="H109" i="21" s="1"/>
  <c r="I109" i="21" s="1"/>
  <c r="J109" i="21" s="1"/>
  <c r="K109" i="21" s="1"/>
  <c r="L109" i="21" s="1"/>
  <c r="M109" i="21" s="1"/>
  <c r="N109" i="21" s="1"/>
  <c r="I44" i="21"/>
  <c r="J44" i="21" s="1"/>
  <c r="K44" i="21" s="1"/>
  <c r="L44" i="21" s="1"/>
  <c r="M44" i="21" s="1"/>
  <c r="N44" i="21" s="1"/>
  <c r="G110" i="21" s="1"/>
  <c r="H110" i="21" s="1"/>
  <c r="I110" i="21" s="1"/>
  <c r="J110" i="21" s="1"/>
  <c r="K110" i="21" s="1"/>
  <c r="L110" i="21" s="1"/>
  <c r="M110" i="21" s="1"/>
  <c r="N110" i="21" s="1"/>
  <c r="I24" i="21"/>
  <c r="N59" i="21"/>
  <c r="M59" i="21"/>
  <c r="L59" i="21"/>
  <c r="K59" i="21"/>
  <c r="J59" i="21"/>
  <c r="I59" i="21"/>
  <c r="N49" i="21"/>
  <c r="M49" i="21"/>
  <c r="L49" i="21"/>
  <c r="K49" i="21"/>
  <c r="J49" i="21"/>
  <c r="I49" i="21"/>
  <c r="D16" i="19"/>
  <c r="I26" i="9"/>
  <c r="I8" i="8"/>
  <c r="I9" i="8"/>
  <c r="I10" i="8"/>
  <c r="I11" i="8"/>
  <c r="I12" i="8"/>
  <c r="I13" i="8"/>
  <c r="I14" i="8"/>
  <c r="I15" i="8"/>
  <c r="I16" i="8"/>
  <c r="I17" i="8"/>
  <c r="I18" i="8"/>
  <c r="C19" i="8"/>
  <c r="G19" i="8"/>
  <c r="F19" i="8"/>
  <c r="H18" i="8"/>
  <c r="H17" i="8"/>
  <c r="H16" i="8"/>
  <c r="H15" i="8"/>
  <c r="H14" i="8"/>
  <c r="H13" i="8"/>
  <c r="H12" i="8"/>
  <c r="H11" i="8"/>
  <c r="H10" i="8"/>
  <c r="H9" i="8"/>
  <c r="H8" i="8"/>
  <c r="H7" i="8"/>
  <c r="H8" i="19"/>
  <c r="H15" i="19"/>
  <c r="J15" i="19" s="1"/>
  <c r="K15" i="19" s="1"/>
  <c r="H14" i="19"/>
  <c r="J14" i="19" s="1"/>
  <c r="K14" i="19" s="1"/>
  <c r="H13" i="19"/>
  <c r="J13" i="19"/>
  <c r="K13" i="19" s="1"/>
  <c r="H12" i="19"/>
  <c r="J12" i="19" s="1"/>
  <c r="K12" i="19" s="1"/>
  <c r="H11" i="19"/>
  <c r="J11" i="19"/>
  <c r="K11" i="19"/>
  <c r="H10" i="19"/>
  <c r="J10" i="19" s="1"/>
  <c r="K10" i="19" s="1"/>
  <c r="I4" i="22" s="1"/>
  <c r="H9" i="19"/>
  <c r="J9" i="19"/>
  <c r="K9" i="19" s="1"/>
  <c r="I3" i="22" s="1"/>
  <c r="C21" i="13"/>
  <c r="C20" i="13"/>
  <c r="C17" i="13"/>
  <c r="C18" i="13" s="1"/>
  <c r="C16" i="13"/>
  <c r="C6" i="13"/>
  <c r="C10" i="13"/>
  <c r="C12" i="13" s="1"/>
  <c r="C14" i="13" s="1"/>
  <c r="D19" i="8"/>
  <c r="I19" i="8"/>
  <c r="I7" i="8"/>
  <c r="I109" i="9" l="1"/>
  <c r="I110" i="9" s="1"/>
  <c r="M103" i="9" s="1"/>
  <c r="L144" i="9"/>
  <c r="L146" i="9" s="1"/>
  <c r="M137" i="9" s="1"/>
  <c r="M23" i="5"/>
  <c r="I227" i="9" s="1"/>
  <c r="J8" i="19"/>
  <c r="K8" i="19" s="1"/>
  <c r="K16" i="19" s="1"/>
  <c r="H14" i="21" s="1"/>
  <c r="G48" i="21"/>
  <c r="G47" i="21"/>
  <c r="G49" i="21" s="1"/>
  <c r="G25" i="21"/>
  <c r="G29" i="21"/>
  <c r="G33" i="21"/>
  <c r="G37" i="21"/>
  <c r="G41" i="21"/>
  <c r="G24" i="21"/>
  <c r="G42" i="21"/>
  <c r="G31" i="21"/>
  <c r="G39" i="21"/>
  <c r="G32" i="21"/>
  <c r="G40" i="21"/>
  <c r="G26" i="21"/>
  <c r="G30" i="21"/>
  <c r="G34" i="21"/>
  <c r="G38" i="21"/>
  <c r="G35" i="21"/>
  <c r="G43" i="21"/>
  <c r="G28" i="21"/>
  <c r="G36" i="21"/>
  <c r="G44" i="21"/>
  <c r="G27" i="21"/>
  <c r="J24" i="21"/>
  <c r="K24" i="21" s="1"/>
  <c r="L24" i="21" s="1"/>
  <c r="M24" i="21" s="1"/>
  <c r="N24" i="21" s="1"/>
  <c r="I45" i="21"/>
  <c r="I50" i="21" s="1"/>
  <c r="K238" i="9"/>
  <c r="K240" i="9" s="1"/>
  <c r="K228" i="9"/>
  <c r="L25" i="21"/>
  <c r="M25" i="21" s="1"/>
  <c r="N25" i="21" s="1"/>
  <c r="G91" i="21" s="1"/>
  <c r="H91" i="21" s="1"/>
  <c r="I91" i="21" s="1"/>
  <c r="J91" i="21" s="1"/>
  <c r="K91" i="21" s="1"/>
  <c r="L91" i="21" s="1"/>
  <c r="M91" i="21" s="1"/>
  <c r="N91" i="21" s="1"/>
  <c r="K230" i="9" l="1"/>
  <c r="J45" i="21"/>
  <c r="J50" i="21" s="1"/>
  <c r="K45" i="21"/>
  <c r="K50" i="21" s="1"/>
  <c r="L45" i="21"/>
  <c r="L50" i="21" s="1"/>
  <c r="I2" i="22"/>
  <c r="G45" i="21"/>
  <c r="G50" i="21" s="1"/>
  <c r="M31" i="5"/>
  <c r="G90" i="21"/>
  <c r="N45" i="21"/>
  <c r="N50" i="21" s="1"/>
  <c r="I14" i="21"/>
  <c r="H17" i="21"/>
  <c r="M45" i="21"/>
  <c r="M50" i="21" s="1"/>
  <c r="M221" i="9" l="1"/>
  <c r="M232" i="9" s="1"/>
  <c r="M242" i="9" s="1"/>
  <c r="H19" i="21"/>
  <c r="H20" i="21" s="1"/>
  <c r="H52" i="21" s="1"/>
  <c r="J14" i="21"/>
  <c r="I17" i="21"/>
  <c r="H90" i="21"/>
  <c r="G111" i="21"/>
  <c r="G116" i="21" s="1"/>
  <c r="H61" i="21" l="1"/>
  <c r="H73" i="21"/>
  <c r="I90" i="21"/>
  <c r="H111" i="21"/>
  <c r="H116" i="21" s="1"/>
  <c r="I19" i="21"/>
  <c r="I20" i="21" s="1"/>
  <c r="I52" i="21" s="1"/>
  <c r="K14" i="21"/>
  <c r="J17" i="21"/>
  <c r="H60" i="21"/>
  <c r="H74" i="21" s="1"/>
  <c r="I73" i="21" l="1"/>
  <c r="I61" i="21"/>
  <c r="I60" i="21"/>
  <c r="I74" i="21" s="1"/>
  <c r="K17" i="21"/>
  <c r="L14" i="21"/>
  <c r="J19" i="21"/>
  <c r="J20" i="21" s="1"/>
  <c r="J52" i="21" s="1"/>
  <c r="I111" i="21"/>
  <c r="I116" i="21" s="1"/>
  <c r="J90" i="21"/>
  <c r="J61" i="21" l="1"/>
  <c r="J73" i="21"/>
  <c r="J60" i="21"/>
  <c r="J74" i="21" s="1"/>
  <c r="L17" i="21"/>
  <c r="M14" i="21"/>
  <c r="K19" i="21"/>
  <c r="K20" i="21" s="1"/>
  <c r="K52" i="21" s="1"/>
  <c r="J111" i="21"/>
  <c r="J116" i="21" s="1"/>
  <c r="K90" i="21"/>
  <c r="K61" i="21" l="1"/>
  <c r="K73" i="21"/>
  <c r="K60" i="21"/>
  <c r="K74" i="21" s="1"/>
  <c r="N14" i="21"/>
  <c r="M17" i="21"/>
  <c r="L19" i="21"/>
  <c r="L20" i="21" s="1"/>
  <c r="L52" i="21" s="1"/>
  <c r="L90" i="21"/>
  <c r="K111" i="21"/>
  <c r="K116" i="21" s="1"/>
  <c r="L73" i="21" l="1"/>
  <c r="L61" i="21"/>
  <c r="L60" i="21"/>
  <c r="L74" i="21" s="1"/>
  <c r="M19" i="21"/>
  <c r="M20" i="21" s="1"/>
  <c r="M52" i="21" s="1"/>
  <c r="G80" i="21"/>
  <c r="N17" i="21"/>
  <c r="L111" i="21"/>
  <c r="L116" i="21" s="1"/>
  <c r="M90" i="21"/>
  <c r="M61" i="21" l="1"/>
  <c r="M73" i="21"/>
  <c r="H80" i="21"/>
  <c r="G83" i="21"/>
  <c r="M60" i="21"/>
  <c r="M74" i="21" s="1"/>
  <c r="N90" i="21"/>
  <c r="N111" i="21" s="1"/>
  <c r="N116" i="21" s="1"/>
  <c r="M111" i="21"/>
  <c r="M116" i="21" s="1"/>
  <c r="N19" i="21"/>
  <c r="N20" i="21" s="1"/>
  <c r="N52" i="21" s="1"/>
  <c r="N73" i="21" l="1"/>
  <c r="N61" i="21"/>
  <c r="N60" i="21"/>
  <c r="N74" i="21" s="1"/>
  <c r="G85" i="21"/>
  <c r="G86" i="21" s="1"/>
  <c r="G118" i="21" s="1"/>
  <c r="H83" i="21"/>
  <c r="I80" i="21"/>
  <c r="G127" i="21" l="1"/>
  <c r="G138" i="21"/>
  <c r="H85" i="21"/>
  <c r="H86" i="21" s="1"/>
  <c r="H118" i="21" s="1"/>
  <c r="G126" i="21"/>
  <c r="G139" i="21" s="1"/>
  <c r="J80" i="21"/>
  <c r="I83" i="21"/>
  <c r="H127" i="21" l="1"/>
  <c r="H138" i="21"/>
  <c r="J83" i="21"/>
  <c r="K80" i="21"/>
  <c r="H126" i="21"/>
  <c r="H139" i="21" s="1"/>
  <c r="I85" i="21"/>
  <c r="I86" i="21" s="1"/>
  <c r="I118" i="21" s="1"/>
  <c r="I127" i="21" l="1"/>
  <c r="I138" i="21"/>
  <c r="I126" i="21"/>
  <c r="I139" i="21" s="1"/>
  <c r="L80" i="21"/>
  <c r="K83" i="21"/>
  <c r="J85" i="21"/>
  <c r="J86" i="21" s="1"/>
  <c r="J118" i="21" s="1"/>
  <c r="J138" i="21" l="1"/>
  <c r="J127" i="21"/>
  <c r="J126" i="21"/>
  <c r="J139" i="21" s="1"/>
  <c r="K85" i="21"/>
  <c r="K86" i="21" s="1"/>
  <c r="K118" i="21" s="1"/>
  <c r="M80" i="21"/>
  <c r="L83" i="21"/>
  <c r="K138" i="21" l="1"/>
  <c r="K127" i="21"/>
  <c r="M83" i="21"/>
  <c r="N80" i="21"/>
  <c r="N83" i="21" s="1"/>
  <c r="K126" i="21"/>
  <c r="K139" i="21" s="1"/>
  <c r="L85" i="21"/>
  <c r="L86" i="21" s="1"/>
  <c r="L118" i="21" s="1"/>
  <c r="L138" i="21" l="1"/>
  <c r="L127" i="21"/>
  <c r="L126" i="21"/>
  <c r="L139" i="21" s="1"/>
  <c r="N85" i="21"/>
  <c r="N86" i="21" s="1"/>
  <c r="N118" i="21" s="1"/>
  <c r="M85" i="21"/>
  <c r="M86" i="21" s="1"/>
  <c r="M118" i="21" s="1"/>
  <c r="M138" i="21" l="1"/>
  <c r="M127" i="21"/>
  <c r="N138" i="21"/>
  <c r="N127" i="21"/>
  <c r="M126" i="21"/>
  <c r="M139" i="21" s="1"/>
  <c r="N126" i="21"/>
  <c r="N13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H5" authorId="0" shapeId="0" xr:uid="{00000000-0006-0000-0400-000001000000}">
      <text>
        <r>
          <rPr>
            <sz val="9"/>
            <color indexed="81"/>
            <rFont val="Tahoma"/>
            <family val="2"/>
          </rPr>
          <t xml:space="preserve">Net Maximum TC Rents = Maximum Allowable TC Rents - Utility Allowance
</t>
        </r>
      </text>
    </comment>
    <comment ref="J5" authorId="0" shapeId="0" xr:uid="{00000000-0006-0000-0400-000002000000}">
      <text>
        <r>
          <rPr>
            <sz val="9"/>
            <color indexed="81"/>
            <rFont val="Tahoma"/>
            <family val="2"/>
          </rPr>
          <t xml:space="preserve">Maximum Achievable Rents are the lesser of the Net Maximum Tax Credit Rents or the rents concluded in the market study.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<sst xmlns="http://schemas.openxmlformats.org/spreadsheetml/2006/main" count="1258" uniqueCount="807">
  <si>
    <t>LIHTC ALLOCATION CRITERIA SCORING</t>
  </si>
  <si>
    <r>
      <t xml:space="preserve">Complete the Scoring Worksheet below by indicating the number of points in the green boxes and entering additional details where indicated.  Please refer to Chapter 6 of the </t>
    </r>
    <r>
      <rPr>
        <i/>
        <sz val="11"/>
        <color indexed="8"/>
        <rFont val="Calibri"/>
        <family val="2"/>
      </rPr>
      <t>Policies</t>
    </r>
    <r>
      <rPr>
        <sz val="11"/>
        <color indexed="8"/>
        <rFont val="Calibri"/>
        <family val="2"/>
      </rPr>
      <t xml:space="preserve"> for definitions and specific details on each allocation criterion.  By making a selection, the Project Owner agrees that, if it receives an Allocation of Credit, it will comply with all of the requirements related to the selected Allocation Criteria as set forth in the </t>
    </r>
    <r>
      <rPr>
        <i/>
        <sz val="11"/>
        <color indexed="8"/>
        <rFont val="Calibri"/>
        <family val="2"/>
      </rPr>
      <t>Policies</t>
    </r>
    <r>
      <rPr>
        <sz val="11"/>
        <color indexed="8"/>
        <rFont val="Calibri"/>
        <family val="2"/>
      </rPr>
      <t xml:space="preserve">.  The Project Owner is responsible for demonstrating that the Project qualifies for all selected Allocation Criteria and ensuring that all required attachments are submitted.  </t>
    </r>
  </si>
  <si>
    <t>POINTS
SELECTED</t>
  </si>
  <si>
    <t>ADDITIONAL LOW-INCOME HOUSING COMMITMENT</t>
  </si>
  <si>
    <t>The Applicant commits the Project to serve the following combination of Income Set-Asides:</t>
  </si>
  <si>
    <t>County:</t>
  </si>
  <si>
    <t>Select County</t>
  </si>
  <si>
    <t>Set-Aside Combination:</t>
  </si>
  <si>
    <t>None</t>
  </si>
  <si>
    <r>
      <t>Calculation of Units -</t>
    </r>
    <r>
      <rPr>
        <b/>
        <u/>
        <sz val="11"/>
        <color rgb="FFFF0000"/>
        <rFont val="Calibri"/>
        <family val="2"/>
      </rPr>
      <t xml:space="preserve"> Please fill in green fields</t>
    </r>
  </si>
  <si>
    <t>% of Total Low-Income Units</t>
  </si>
  <si>
    <t>Income Target</t>
  </si>
  <si>
    <t>Set-Aside Units</t>
  </si>
  <si>
    <t>@</t>
  </si>
  <si>
    <t>30% AMI</t>
  </si>
  <si>
    <t>=</t>
  </si>
  <si>
    <t>40% AMI</t>
  </si>
  <si>
    <t>50% AMI</t>
  </si>
  <si>
    <t>60% AMI</t>
  </si>
  <si>
    <t xml:space="preserve">Total Low-Income Housing Units </t>
  </si>
  <si>
    <t>ADDITIONAL LOW-INCOME HOUSING USE PERIOD</t>
  </si>
  <si>
    <t>No Points Taken</t>
  </si>
  <si>
    <t>HOUSING COMMITMENTS FOR PRIORITY POPULATIONS</t>
  </si>
  <si>
    <t>Indicate the Priority Population set-aside(s) below. Choose within a single category only (i.e., A or B or C).</t>
  </si>
  <si>
    <t>Category A.  Permanent Supportive Housing for the Homeless (35 points - Seattle/King ; 25 points - Metro and Non-Metro Pool)</t>
  </si>
  <si>
    <t xml:space="preserve">75% of units set aside for Homeless (Seattle/King County only) =  </t>
  </si>
  <si>
    <t>units</t>
  </si>
  <si>
    <t xml:space="preserve">25% of units set aside for Homeless  (Metro and Non-Metro only) =  </t>
  </si>
  <si>
    <t>Category B. 75% Farmworker Housing (25 points - Metro and Non-Metro Pool)</t>
  </si>
  <si>
    <t xml:space="preserve">75% of units set aside for Farmworkers (Metro and Non-Metro only) =  </t>
  </si>
  <si>
    <t>Category C.  Housing Commitments for other Priority Populations (Up to Two - 10 points each)</t>
  </si>
  <si>
    <t>20% of units set aside for Farmworkers  =</t>
  </si>
  <si>
    <t xml:space="preserve">20% of units set aside for Large Households  =  </t>
  </si>
  <si>
    <t xml:space="preserve">20% of units set aside for Persons with Disabilities  =  </t>
  </si>
  <si>
    <t xml:space="preserve">20% of units set aside for Permanent Housing for Homeless  = </t>
  </si>
  <si>
    <t xml:space="preserve">100% of units set aside for the Elderly  = </t>
  </si>
  <si>
    <t>LEVERAGE SCORING</t>
  </si>
  <si>
    <t>Points will be awarded to projects based on the percentage of "other sources leveraged" as a percentage of Total Project Costs.</t>
  </si>
  <si>
    <t>Total Project Costs (from Form 6D, Cell G35):</t>
  </si>
  <si>
    <t>Source of Funds:</t>
  </si>
  <si>
    <t>Enter name of Source</t>
  </si>
  <si>
    <t>Amount of Funds:</t>
  </si>
  <si>
    <t>Total Amount of Leveraging:</t>
  </si>
  <si>
    <t>Percentage of Total Project Costs:</t>
  </si>
  <si>
    <t>Points Earned</t>
  </si>
  <si>
    <t>Select Applicable Points</t>
  </si>
  <si>
    <t>Please see Policies for a list of sources and exclusions.</t>
  </si>
  <si>
    <t>PUBLIC LEVERAGE</t>
  </si>
  <si>
    <t>Two Points will be awarded to projects that have 50% or more public resources committed as part of "other sources leveraged."</t>
  </si>
  <si>
    <t>Amount of Public Resources</t>
  </si>
  <si>
    <t>Percentage of Leveraging:</t>
  </si>
  <si>
    <t>PROJECT-BASED RENTAL ASSISTANCE (PBRA)</t>
  </si>
  <si>
    <t>Points will be awarded to projects with Project-Based Rental Assistance that is committed at the time of application.</t>
  </si>
  <si>
    <t>Type of Rental Assistance:</t>
  </si>
  <si>
    <t>Type of federal rental assistance</t>
  </si>
  <si>
    <t>Number of Units with Rental Assistance:</t>
  </si>
  <si>
    <t>Number of Low-Income Units:</t>
  </si>
  <si>
    <t>Percent of Units with Rental Assistance:</t>
  </si>
  <si>
    <t>OPERATING AND MAINTENANCE (O&amp;M)</t>
  </si>
  <si>
    <t>One Point will be awarded to projects with a two-year minimum local funding commitment(s) for Operating and Maintenance (O&amp;M).</t>
  </si>
  <si>
    <t xml:space="preserve">Source of O&amp;M Funds: </t>
  </si>
  <si>
    <t>O&amp;M funding commitment source</t>
  </si>
  <si>
    <t>Number of Years Committed:</t>
  </si>
  <si>
    <t>DEVELOPER FEES</t>
  </si>
  <si>
    <t>Project Owner makes a commitment to limit the maximum Developer Fees for the Project to:</t>
  </si>
  <si>
    <t>AT-RISK OF LOSS OR MARKET CONVERSION</t>
  </si>
  <si>
    <t>Points will be awarded to Rehabilitation projects with expiring federal use agreements that have received preapproval for being at risk of market conversion.</t>
  </si>
  <si>
    <t>EXPIRING FEDERAL USE RESTRICTION:</t>
  </si>
  <si>
    <t>At Risk Scenario</t>
  </si>
  <si>
    <t>Scenario 1: Sale and conversion to market</t>
  </si>
  <si>
    <t>Type of federal use restriction:</t>
  </si>
  <si>
    <t>Enter type of federal use restriction</t>
  </si>
  <si>
    <t>Expiration date:</t>
  </si>
  <si>
    <t>Enter expiration date of federal use restriction</t>
  </si>
  <si>
    <t>Number of units at risk:</t>
  </si>
  <si>
    <t>HISTORIC PROPERTY</t>
  </si>
  <si>
    <r>
      <t xml:space="preserve">Five Points will be awarded to </t>
    </r>
    <r>
      <rPr>
        <b/>
        <u/>
        <sz val="10"/>
        <rFont val="Calibri"/>
        <family val="2"/>
      </rPr>
      <t>New Production</t>
    </r>
    <r>
      <rPr>
        <b/>
        <sz val="10"/>
        <rFont val="Calibri"/>
        <family val="2"/>
      </rPr>
      <t xml:space="preserve"> Projects meeting the definition of an Historic Property </t>
    </r>
    <r>
      <rPr>
        <b/>
        <u/>
        <sz val="10"/>
        <rFont val="Calibri"/>
        <family val="2"/>
      </rPr>
      <t>and</t>
    </r>
    <r>
      <rPr>
        <b/>
        <sz val="10"/>
        <rFont val="Calibri"/>
        <family val="2"/>
      </rPr>
      <t xml:space="preserve"> using the federal Historic Tax Credit in their financing.</t>
    </r>
  </si>
  <si>
    <t>Not a Historic property</t>
  </si>
  <si>
    <t>Number of Housing Units in Project:</t>
  </si>
  <si>
    <t>Number of Housing Units in Buildings designated as historic property:</t>
  </si>
  <si>
    <t>Percentage of Housing Units designated historic:</t>
  </si>
  <si>
    <t>ELIGIBLE TRIBAL AREA</t>
  </si>
  <si>
    <t>Points will be awarded to those Projects located on an eligible Indian Reservation or within the service area of an eligible tribe.</t>
  </si>
  <si>
    <t>Eligible Tribe:</t>
  </si>
  <si>
    <t>Select tribal area</t>
  </si>
  <si>
    <t>LOCATION EFFICIENT PROJECTS</t>
  </si>
  <si>
    <t>Two Points will be awarded to those Projects that provide nearby access to food and exceed the minimum Access to Community Resources criterion of the Evergreen Sustainable Development Standard (ESDS).</t>
  </si>
  <si>
    <t>Select one:</t>
  </si>
  <si>
    <t>AREA TARGETED BY A LOCAL JURISDICTION</t>
  </si>
  <si>
    <r>
      <t xml:space="preserve">Two Points will be awared to Projects  in </t>
    </r>
    <r>
      <rPr>
        <b/>
        <u/>
        <sz val="10"/>
        <rFont val="Calibri"/>
        <family val="2"/>
      </rPr>
      <t>King County or Metro Counties</t>
    </r>
    <r>
      <rPr>
        <b/>
        <sz val="10"/>
        <rFont val="Calibri"/>
        <family val="2"/>
      </rPr>
      <t xml:space="preserve"> that are located in a specific geographic area that is targeted by the local jurisdiction for affordable housing.</t>
    </r>
  </si>
  <si>
    <t xml:space="preserve">Project is located in </t>
  </si>
  <si>
    <t>Select location</t>
  </si>
  <si>
    <t xml:space="preserve">COMMUNITY REVITALIZATION PLAN </t>
  </si>
  <si>
    <r>
      <t xml:space="preserve">One Point will be awarded to Projects  in </t>
    </r>
    <r>
      <rPr>
        <b/>
        <u/>
        <sz val="10"/>
        <rFont val="Calibri"/>
        <family val="2"/>
      </rPr>
      <t>King County or Metro Counties</t>
    </r>
    <r>
      <rPr>
        <b/>
        <sz val="10"/>
        <rFont val="Calibri"/>
        <family val="2"/>
      </rPr>
      <t xml:space="preserve"> that contribute to a preapproved Community Revitalization Plan.</t>
    </r>
  </si>
  <si>
    <t>TRANSIT ORIENTED DEVELOPMENT</t>
  </si>
  <si>
    <t>Select Location</t>
  </si>
  <si>
    <t>HIGH AND VERY HIGH OPPORTUNITY AREAS</t>
  </si>
  <si>
    <r>
      <t xml:space="preserve">One Point will be awarded to Projects  in </t>
    </r>
    <r>
      <rPr>
        <b/>
        <u/>
        <sz val="10"/>
        <rFont val="Calibri"/>
        <family val="2"/>
      </rPr>
      <t>King County</t>
    </r>
    <r>
      <rPr>
        <b/>
        <sz val="10"/>
        <rFont val="Calibri"/>
        <family val="2"/>
      </rPr>
      <t xml:space="preserve"> that are located in a census tract determined to be a High or Very High Opportunity Area.</t>
    </r>
  </si>
  <si>
    <t>JOB CENTERS</t>
  </si>
  <si>
    <t>One Point will be awarded to Projects in or near the top 50 Metro or Non-Metro job growth places.</t>
  </si>
  <si>
    <t>Project is located in</t>
  </si>
  <si>
    <t>Select an eligible location</t>
  </si>
  <si>
    <t>NONPROFIT SPONSOR</t>
  </si>
  <si>
    <t>Five Points will be awarded to those Projects that qualify under one of the three scenarios below.  Indicate Nonprofit involvement below:</t>
  </si>
  <si>
    <t>DONATION IN SUPPORT OF LOCAL HOUSING NEEDS</t>
  </si>
  <si>
    <t>Five Points will be awarded to Projects whose Owners agree to contribute to a local Nonprofit Organization an amount depending on Total Project Costs:</t>
  </si>
  <si>
    <t>Select from list</t>
  </si>
  <si>
    <t>EVENTUAL TENANT OWNERSHIP</t>
  </si>
  <si>
    <t>ENERGY EFFICIENCY MODELING OR AUDIT OPTION</t>
  </si>
  <si>
    <t>22A</t>
  </si>
  <si>
    <t xml:space="preserve">COST CONTAINMENT INCENTIVE </t>
  </si>
  <si>
    <t>One Point will be awarded if the project is below the applicable TDC limit at the time of application.</t>
  </si>
  <si>
    <t>Three Points will be awarded if the project is more than 5% below the TDC limit.</t>
  </si>
  <si>
    <t>Six Points will be awarded if the project is more than 10% below the TDC limit.</t>
  </si>
  <si>
    <t>Applicable Total Development Cost Limit:</t>
  </si>
  <si>
    <t>Project's Total Development Cost (from TDC Limit tab):</t>
  </si>
  <si>
    <t xml:space="preserve">    Less costs associated with including solar:</t>
  </si>
  <si>
    <t>Percentage below applicable TDC Limit:</t>
  </si>
  <si>
    <t>TOTAL POINTS SELECTED BY APPLICANT</t>
  </si>
  <si>
    <t>22B</t>
  </si>
  <si>
    <t>Projects will be awarded Two Points depending on how they compare to the applicable median Cost/SF in its TDC Limit Area.</t>
  </si>
  <si>
    <t>Gross Residential Square Footage from CFA Form 2B:</t>
  </si>
  <si>
    <t>Cost / SF:</t>
  </si>
  <si>
    <t>TOTAL POINTS AWARDED</t>
  </si>
  <si>
    <t>Minimum Score Required by Pool</t>
  </si>
  <si>
    <t>King County:</t>
  </si>
  <si>
    <t>Metro Counties:</t>
  </si>
  <si>
    <t>Non-Metro Counties:</t>
  </si>
  <si>
    <t>"LIHTC Info" Tab</t>
  </si>
  <si>
    <t>checkbox</t>
  </si>
  <si>
    <t>X</t>
  </si>
  <si>
    <t>Higher Income Counties</t>
  </si>
  <si>
    <t>Select Higher Income County</t>
  </si>
  <si>
    <t>higher_income</t>
  </si>
  <si>
    <t>Not located in a Higher Income County</t>
  </si>
  <si>
    <t>Benton</t>
  </si>
  <si>
    <t>Clark</t>
  </si>
  <si>
    <t>Franklin</t>
  </si>
  <si>
    <t>Garfield</t>
  </si>
  <si>
    <t>Island</t>
  </si>
  <si>
    <t>Jefferson</t>
  </si>
  <si>
    <t>King</t>
  </si>
  <si>
    <t>Kitsap</t>
  </si>
  <si>
    <t>Kittitas</t>
  </si>
  <si>
    <t xml:space="preserve">Pierce </t>
  </si>
  <si>
    <t>San Juan</t>
  </si>
  <si>
    <t>Skagit</t>
  </si>
  <si>
    <t>Skamania</t>
  </si>
  <si>
    <t>Snohomish</t>
  </si>
  <si>
    <t>Thurston</t>
  </si>
  <si>
    <t>Whatcom</t>
  </si>
  <si>
    <t>Whitman</t>
  </si>
  <si>
    <t>Income Set-Asides - Higher Income Counties</t>
  </si>
  <si>
    <t>Inc_Higher</t>
  </si>
  <si>
    <r>
      <rPr>
        <b/>
        <sz val="11"/>
        <rFont val="Calibri"/>
        <family val="2"/>
      </rPr>
      <t>Option 1:</t>
    </r>
    <r>
      <rPr>
        <sz val="11"/>
        <rFont val="Calibri"/>
        <family val="2"/>
      </rPr>
      <t xml:space="preserve">  50% @ 30% AMI, 25% @ 40% AMI, 25% @ 60% AMI (60 Points)</t>
    </r>
  </si>
  <si>
    <r>
      <rPr>
        <b/>
        <sz val="11"/>
        <rFont val="Calibri"/>
        <family val="2"/>
      </rPr>
      <t>Option 2:</t>
    </r>
    <r>
      <rPr>
        <sz val="11"/>
        <rFont val="Calibri"/>
        <family val="2"/>
      </rPr>
      <t xml:space="preserve">  50% @ 30% AMI, 50% @ 50% AMI (60 Points)</t>
    </r>
  </si>
  <si>
    <r>
      <rPr>
        <b/>
        <sz val="11"/>
        <rFont val="Calibri"/>
        <family val="2"/>
      </rPr>
      <t>Option 3:</t>
    </r>
    <r>
      <rPr>
        <sz val="11"/>
        <rFont val="Calibri"/>
        <family val="2"/>
      </rPr>
      <t xml:space="preserve">  50% @ 30% AMI, 30% @ 50% AMI, 20% @ 60% AMI (58 Points)</t>
    </r>
  </si>
  <si>
    <r>
      <rPr>
        <b/>
        <sz val="11"/>
        <rFont val="Calibri"/>
        <family val="2"/>
      </rPr>
      <t>Option 4:</t>
    </r>
    <r>
      <rPr>
        <sz val="11"/>
        <rFont val="Calibri"/>
        <family val="2"/>
      </rPr>
      <t xml:space="preserve">  25% @ 30% AMI, 50% @ 40% AMI, 25% @ 60% AMI (56 Points)</t>
    </r>
  </si>
  <si>
    <r>
      <rPr>
        <b/>
        <sz val="11"/>
        <rFont val="Calibri"/>
        <family val="2"/>
      </rPr>
      <t>Option 5:</t>
    </r>
    <r>
      <rPr>
        <sz val="11"/>
        <rFont val="Calibri"/>
        <family val="2"/>
      </rPr>
      <t xml:space="preserve">  50% @ 30%, 25% @ 50% AMI, 25% @ 60% AMI (56 Points)</t>
    </r>
  </si>
  <si>
    <r>
      <rPr>
        <b/>
        <sz val="11"/>
        <rFont val="Calibri"/>
        <family val="2"/>
      </rPr>
      <t>Option 6:</t>
    </r>
    <r>
      <rPr>
        <sz val="11"/>
        <rFont val="Calibri"/>
        <family val="2"/>
      </rPr>
      <t xml:space="preserve">  Not Available in Higher Income Counties</t>
    </r>
  </si>
  <si>
    <r>
      <rPr>
        <b/>
        <sz val="11"/>
        <rFont val="Calibri"/>
        <family val="2"/>
      </rPr>
      <t>Option 7:</t>
    </r>
    <r>
      <rPr>
        <sz val="11"/>
        <rFont val="Calibri"/>
        <family val="2"/>
      </rPr>
      <t xml:space="preserve">  50% @ 30% AMI, 10% @ 40% AMI, 40% @ 60% AMI (54 Points)</t>
    </r>
  </si>
  <si>
    <r>
      <rPr>
        <b/>
        <sz val="11"/>
        <rFont val="Calibri"/>
        <family val="2"/>
      </rPr>
      <t>Option 8</t>
    </r>
    <r>
      <rPr>
        <sz val="11"/>
        <rFont val="Calibri"/>
        <family val="2"/>
      </rPr>
      <t>:  Not Available in Higher Income Counties</t>
    </r>
  </si>
  <si>
    <r>
      <rPr>
        <b/>
        <sz val="11"/>
        <rFont val="Calibri"/>
        <family val="2"/>
      </rPr>
      <t>Option 9:</t>
    </r>
    <r>
      <rPr>
        <sz val="11"/>
        <rFont val="Calibri"/>
        <family val="2"/>
      </rPr>
      <t xml:space="preserve">  50% @ 40% AMI, 50% @ 50% AMI (56 Points)</t>
    </r>
  </si>
  <si>
    <r>
      <rPr>
        <b/>
        <sz val="11"/>
        <rFont val="Calibri"/>
        <family val="2"/>
      </rPr>
      <t>Option 10:</t>
    </r>
    <r>
      <rPr>
        <sz val="11"/>
        <rFont val="Calibri"/>
        <family val="2"/>
      </rPr>
      <t xml:space="preserve">  Not Available in Higher Income Counties</t>
    </r>
  </si>
  <si>
    <r>
      <rPr>
        <b/>
        <sz val="11"/>
        <rFont val="Calibri"/>
        <family val="2"/>
      </rPr>
      <t>Option 11:</t>
    </r>
    <r>
      <rPr>
        <sz val="11"/>
        <rFont val="Calibri"/>
        <family val="2"/>
      </rPr>
      <t xml:space="preserve">  10% @ 30% AMI, 30% @ 40% AMI, 60% @ 50% AMI (54 Points)</t>
    </r>
  </si>
  <si>
    <r>
      <rPr>
        <b/>
        <sz val="11"/>
        <rFont val="Calibri"/>
        <family val="2"/>
      </rPr>
      <t>Option 12:</t>
    </r>
    <r>
      <rPr>
        <sz val="11"/>
        <rFont val="Calibri"/>
        <family val="2"/>
      </rPr>
      <t xml:space="preserve">  Not Available in Higher Income Counties</t>
    </r>
  </si>
  <si>
    <r>
      <rPr>
        <b/>
        <sz val="11"/>
        <rFont val="Calibri"/>
        <family val="2"/>
      </rPr>
      <t>Option 13:</t>
    </r>
    <r>
      <rPr>
        <sz val="11"/>
        <rFont val="Calibri"/>
        <family val="2"/>
      </rPr>
      <t xml:space="preserve">  Not Available in Higher Income Counties</t>
    </r>
  </si>
  <si>
    <r>
      <rPr>
        <b/>
        <sz val="11"/>
        <rFont val="Calibri"/>
        <family val="2"/>
      </rPr>
      <t xml:space="preserve">Option 14: </t>
    </r>
    <r>
      <rPr>
        <sz val="11"/>
        <rFont val="Calibri"/>
        <family val="2"/>
      </rPr>
      <t xml:space="preserve"> 40% @ 40% AMI, 50% @ 50% AMI, 10% @ 60% AMI (54 Points)</t>
    </r>
  </si>
  <si>
    <r>
      <rPr>
        <b/>
        <sz val="11"/>
        <rFont val="Calibri"/>
        <family val="2"/>
      </rPr>
      <t>Option 15:</t>
    </r>
    <r>
      <rPr>
        <sz val="11"/>
        <rFont val="Calibri"/>
        <family val="2"/>
      </rPr>
      <t xml:space="preserve">  25% @ 40% AMI, 75% @ 50% AMI (54 Points)</t>
    </r>
  </si>
  <si>
    <r>
      <rPr>
        <b/>
        <sz val="11"/>
        <rFont val="Calibri"/>
        <family val="2"/>
      </rPr>
      <t xml:space="preserve">Option 16: </t>
    </r>
    <r>
      <rPr>
        <sz val="11"/>
        <rFont val="Calibri"/>
        <family val="2"/>
      </rPr>
      <t xml:space="preserve"> Not Available in Higher Income Counties</t>
    </r>
  </si>
  <si>
    <r>
      <rPr>
        <b/>
        <sz val="11"/>
        <rFont val="Calibri"/>
        <family val="2"/>
      </rPr>
      <t>Option 17:</t>
    </r>
    <r>
      <rPr>
        <sz val="11"/>
        <rFont val="Calibri"/>
        <family val="2"/>
      </rPr>
      <t xml:space="preserve">  40% @ 40% AMI, 30@ 50% AMI, 30% @ 60% AMI (54 Points)</t>
    </r>
  </si>
  <si>
    <t>Lower Income Counties</t>
  </si>
  <si>
    <t>Select Lower Income County</t>
  </si>
  <si>
    <t>lower_income</t>
  </si>
  <si>
    <t>Not located in a Lower Income County</t>
  </si>
  <si>
    <t>Adams</t>
  </si>
  <si>
    <t>Asotin</t>
  </si>
  <si>
    <t>Chelan</t>
  </si>
  <si>
    <t>Clallam</t>
  </si>
  <si>
    <t>Columbia</t>
  </si>
  <si>
    <t>Cowlitz</t>
  </si>
  <si>
    <t>Douglas</t>
  </si>
  <si>
    <t>Ferry</t>
  </si>
  <si>
    <t>Grant</t>
  </si>
  <si>
    <t>Grays Harbor</t>
  </si>
  <si>
    <t>Klickitat</t>
  </si>
  <si>
    <t>Lewis</t>
  </si>
  <si>
    <t>Lincoln</t>
  </si>
  <si>
    <t>Mason</t>
  </si>
  <si>
    <t>Okanogan</t>
  </si>
  <si>
    <t>Pacific</t>
  </si>
  <si>
    <t>Pend Oreille</t>
  </si>
  <si>
    <t>Spokane</t>
  </si>
  <si>
    <t>Stevens</t>
  </si>
  <si>
    <t>Wahkiakum</t>
  </si>
  <si>
    <t>Walla Walla</t>
  </si>
  <si>
    <t>Yakima</t>
  </si>
  <si>
    <t>Income Set-Asides - Lower Income Counties</t>
  </si>
  <si>
    <t>Inc_Lower</t>
  </si>
  <si>
    <r>
      <rPr>
        <b/>
        <sz val="11"/>
        <rFont val="Calibri"/>
        <family val="2"/>
      </rPr>
      <t>Option 1:</t>
    </r>
    <r>
      <rPr>
        <sz val="11"/>
        <rFont val="Calibri"/>
        <family val="2"/>
      </rPr>
      <t xml:space="preserve">  Not Available in Lower Income Counties</t>
    </r>
  </si>
  <si>
    <r>
      <rPr>
        <b/>
        <sz val="11"/>
        <rFont val="Calibri"/>
        <family val="2"/>
      </rPr>
      <t>Option 2:</t>
    </r>
    <r>
      <rPr>
        <sz val="11"/>
        <rFont val="Calibri"/>
        <family val="2"/>
      </rPr>
      <t xml:space="preserve">  Not Available in Lower Income Counties</t>
    </r>
  </si>
  <si>
    <r>
      <rPr>
        <b/>
        <sz val="11"/>
        <rFont val="Calibri"/>
        <family val="2"/>
      </rPr>
      <t>Option 3:</t>
    </r>
    <r>
      <rPr>
        <sz val="11"/>
        <rFont val="Calibri"/>
        <family val="2"/>
      </rPr>
      <t xml:space="preserve">  Not Available in Lower Income Counties</t>
    </r>
  </si>
  <si>
    <r>
      <rPr>
        <b/>
        <sz val="11"/>
        <rFont val="Calibri"/>
        <family val="2"/>
      </rPr>
      <t>Option 4:</t>
    </r>
    <r>
      <rPr>
        <sz val="11"/>
        <rFont val="Calibri"/>
        <family val="2"/>
      </rPr>
      <t xml:space="preserve">  25% @ 30% AMI, 50% @ 40% AMI, 25% @ 60% AMI (60 Points)</t>
    </r>
  </si>
  <si>
    <r>
      <rPr>
        <b/>
        <sz val="11"/>
        <rFont val="Calibri"/>
        <family val="2"/>
      </rPr>
      <t>Option 5:</t>
    </r>
    <r>
      <rPr>
        <sz val="11"/>
        <rFont val="Calibri"/>
        <family val="2"/>
      </rPr>
      <t xml:space="preserve">  Not Available in Lower Income Counties</t>
    </r>
  </si>
  <si>
    <r>
      <rPr>
        <b/>
        <sz val="11"/>
        <rFont val="Calibri"/>
        <family val="2"/>
      </rPr>
      <t>Option 6:</t>
    </r>
    <r>
      <rPr>
        <sz val="11"/>
        <rFont val="Calibri"/>
        <family val="2"/>
      </rPr>
      <t xml:space="preserve">  10% @ 30% AMI, 50% @ 40% AMI, 40% @ 50% AMI (60 Points)</t>
    </r>
  </si>
  <si>
    <r>
      <rPr>
        <b/>
        <sz val="11"/>
        <rFont val="Calibri"/>
        <family val="2"/>
      </rPr>
      <t>Option 7:</t>
    </r>
    <r>
      <rPr>
        <sz val="11"/>
        <rFont val="Calibri"/>
        <family val="2"/>
      </rPr>
      <t xml:space="preserve">  50% @ 30% AMI, 10% @ 40% AMI, 40% @ 60% AMI (60 Points)</t>
    </r>
  </si>
  <si>
    <r>
      <rPr>
        <b/>
        <sz val="11"/>
        <rFont val="Calibri"/>
        <family val="2"/>
      </rPr>
      <t>Option 8</t>
    </r>
    <r>
      <rPr>
        <sz val="11"/>
        <rFont val="Calibri"/>
        <family val="2"/>
      </rPr>
      <t>:  10% @ 30% AMI, 40% @ 40% AMI, 50% @ 50% AMI (58 Points)</t>
    </r>
  </si>
  <si>
    <r>
      <rPr>
        <b/>
        <sz val="11"/>
        <rFont val="Calibri"/>
        <family val="2"/>
      </rPr>
      <t>Option 9:</t>
    </r>
    <r>
      <rPr>
        <sz val="11"/>
        <rFont val="Calibri"/>
        <family val="2"/>
      </rPr>
      <t xml:space="preserve">  50% @ 40% AMI, 50% @ 50% AMI (58 Points)</t>
    </r>
  </si>
  <si>
    <r>
      <rPr>
        <b/>
        <sz val="11"/>
        <rFont val="Calibri"/>
        <family val="2"/>
      </rPr>
      <t>Option 10:</t>
    </r>
    <r>
      <rPr>
        <sz val="11"/>
        <rFont val="Calibri"/>
        <family val="2"/>
      </rPr>
      <t xml:space="preserve">  10% @ 30% AMI, 60% @ 40% AMI, 30% @ 60% AMI (58 Points)</t>
    </r>
  </si>
  <si>
    <r>
      <rPr>
        <b/>
        <sz val="11"/>
        <rFont val="Calibri"/>
        <family val="2"/>
      </rPr>
      <t>Option 11:</t>
    </r>
    <r>
      <rPr>
        <sz val="11"/>
        <rFont val="Calibri"/>
        <family val="2"/>
      </rPr>
      <t xml:space="preserve">  10% @ 30% AMI, 30% @ 40% AMI, 60% @ 50% AMI (58 Points)</t>
    </r>
  </si>
  <si>
    <r>
      <rPr>
        <b/>
        <sz val="11"/>
        <rFont val="Calibri"/>
        <family val="2"/>
      </rPr>
      <t>Option 12:</t>
    </r>
    <r>
      <rPr>
        <sz val="11"/>
        <rFont val="Calibri"/>
        <family val="2"/>
      </rPr>
      <t xml:space="preserve">  50% @ 40% AMI, 40% @ 50% AMI, 10% @ 60% AMI (56 Points)</t>
    </r>
  </si>
  <si>
    <r>
      <rPr>
        <b/>
        <sz val="11"/>
        <rFont val="Calibri"/>
        <family val="2"/>
      </rPr>
      <t>Option 13:</t>
    </r>
    <r>
      <rPr>
        <sz val="11"/>
        <rFont val="Calibri"/>
        <family val="2"/>
      </rPr>
      <t xml:space="preserve">  40% @ 40% AMI, 60% @ 50% AMI (56 Points)</t>
    </r>
  </si>
  <si>
    <r>
      <rPr>
        <b/>
        <sz val="11"/>
        <rFont val="Calibri"/>
        <family val="2"/>
      </rPr>
      <t xml:space="preserve">Option 14: </t>
    </r>
    <r>
      <rPr>
        <sz val="11"/>
        <rFont val="Calibri"/>
        <family val="2"/>
      </rPr>
      <t xml:space="preserve"> 40% @ 40% AMI, 50% @ 50% AMI, 10% @ 60% AMI (56 Points)</t>
    </r>
  </si>
  <si>
    <r>
      <rPr>
        <b/>
        <sz val="11"/>
        <rFont val="Calibri"/>
        <family val="2"/>
      </rPr>
      <t>Option 15:</t>
    </r>
    <r>
      <rPr>
        <sz val="11"/>
        <rFont val="Calibri"/>
        <family val="2"/>
      </rPr>
      <t xml:space="preserve">  25% @ 40% AMI, 75% @ 50% AMI (56 Points)</t>
    </r>
  </si>
  <si>
    <r>
      <rPr>
        <b/>
        <sz val="11"/>
        <rFont val="Calibri"/>
        <family val="2"/>
      </rPr>
      <t xml:space="preserve">Option 16: </t>
    </r>
    <r>
      <rPr>
        <sz val="11"/>
        <rFont val="Calibri"/>
        <family val="2"/>
      </rPr>
      <t xml:space="preserve"> 50% @ 40% AMI, 20% @ 50% AMI, 30% @ 60% AMI (56 Points)</t>
    </r>
  </si>
  <si>
    <r>
      <rPr>
        <b/>
        <sz val="11"/>
        <rFont val="Calibri"/>
        <family val="2"/>
      </rPr>
      <t>Option 17:</t>
    </r>
    <r>
      <rPr>
        <sz val="11"/>
        <rFont val="Calibri"/>
        <family val="2"/>
      </rPr>
      <t xml:space="preserve">  40% @ 40% AMI, 30@ 50% AMI, 30% @ 60% AMI (56 Points)</t>
    </r>
  </si>
  <si>
    <t>% of Units</t>
  </si>
  <si>
    <t>Inc_percent</t>
  </si>
  <si>
    <t>Years</t>
  </si>
  <si>
    <t>Selected Value</t>
  </si>
  <si>
    <t>Points</t>
  </si>
  <si>
    <t>Homeless75</t>
  </si>
  <si>
    <t>75% of Total Housing Units as Permanent Supportive Housing for the Homeless (Seattle/King) - 35 Points</t>
  </si>
  <si>
    <t>25% of Total Housing Units as Permanent Supportive Housing for the Homeless (Metro and Non-Metro Pool) - 25 Points</t>
  </si>
  <si>
    <t>Farmworker75</t>
  </si>
  <si>
    <t>75% of the Total Housing Units for Farmworkers (Metro and Non-Metro Pool) - 25 Points</t>
  </si>
  <si>
    <t>SpecNeeds20</t>
  </si>
  <si>
    <t>20% of the Total Housing Units for Farmworkers - 10 Points</t>
  </si>
  <si>
    <t>20% of the Total Housing Units for Large Households - 10 Points</t>
  </si>
  <si>
    <t>20% of the Total Housing Units as Housing for Persons with Disabilities - 10 Points</t>
  </si>
  <si>
    <t>20% of the Total Housing Units as Permanent Housing for the Homeless - 10 Points</t>
  </si>
  <si>
    <t>Elderly Housing Project:  Residents 62 or older - 10 Points</t>
  </si>
  <si>
    <t>Elderly Housing Project:  Residents 55 or older - 10 Points</t>
  </si>
  <si>
    <t>Elderly Housing Project: RD Section 515 program or a HUD elderly program - 10 Points</t>
  </si>
  <si>
    <t>Local Funding Counties</t>
  </si>
  <si>
    <t>Area Targeted by Local Jurisdiction Points</t>
  </si>
  <si>
    <t>CRP Points</t>
  </si>
  <si>
    <t>local_funding_counties</t>
  </si>
  <si>
    <t>King County</t>
  </si>
  <si>
    <t>Clark County</t>
  </si>
  <si>
    <t>Pierce County</t>
  </si>
  <si>
    <t>Spokane County</t>
  </si>
  <si>
    <t>Snohomish County</t>
  </si>
  <si>
    <t>Whatcom County</t>
  </si>
  <si>
    <t>a Non-Metro County. This project is not eligible for these points.</t>
  </si>
  <si>
    <t>Leveraging Points</t>
  </si>
  <si>
    <t>leveraging_points</t>
  </si>
  <si>
    <t>King County 5-10% - 2 Points</t>
  </si>
  <si>
    <t>King County 11-20% - 4 Points</t>
  </si>
  <si>
    <t>King County 21-25% - 7 Points</t>
  </si>
  <si>
    <t>King County 26% and above - 10 Points</t>
  </si>
  <si>
    <t>Metro 2-7% - 2 Points</t>
  </si>
  <si>
    <t>Metro 8-12% - 4 Points</t>
  </si>
  <si>
    <t>Metro 13-17% - 7 Points</t>
  </si>
  <si>
    <t>Metro 18% and above - 10 points</t>
  </si>
  <si>
    <t>Non-Metro 2-7% - 2 points</t>
  </si>
  <si>
    <t>Non-Metro 8-15% - 4 Points</t>
  </si>
  <si>
    <t>Non-Metro 16-22% - 7 Points</t>
  </si>
  <si>
    <t>Non-Metro 23% and above - 10 Points</t>
  </si>
  <si>
    <t>Local Funding Types</t>
  </si>
  <si>
    <t>Select Source</t>
  </si>
  <si>
    <t>local_funding_types</t>
  </si>
  <si>
    <t>Permanent Financing</t>
  </si>
  <si>
    <t>Capital Grant</t>
  </si>
  <si>
    <t>Land Donation</t>
  </si>
  <si>
    <t>Project-Based Rental Assistance</t>
  </si>
  <si>
    <t>Operating and Maintenance Subsidies</t>
  </si>
  <si>
    <t>Other funding type preapproved by the Commission</t>
  </si>
  <si>
    <t>Federal Funding Sources</t>
  </si>
  <si>
    <t>federal_funding_sources</t>
  </si>
  <si>
    <t>HUD 202</t>
  </si>
  <si>
    <t>HUD 811</t>
  </si>
  <si>
    <t>USDA 514</t>
  </si>
  <si>
    <t>USDA 515</t>
  </si>
  <si>
    <t>Other federal source preapproved by the Commission</t>
  </si>
  <si>
    <t>NAHASDA Indian Housing Block Grant - NON-METRO COUNTIES ONLY</t>
  </si>
  <si>
    <t>State Funding Coord</t>
  </si>
  <si>
    <t>King County and has selected #4 above</t>
  </si>
  <si>
    <t>KC_HTF</t>
  </si>
  <si>
    <t>a Metro or Non-Metro County</t>
  </si>
  <si>
    <t>King County, has not selected #4 and is not eligible for these points</t>
  </si>
  <si>
    <t>PBRA_units</t>
  </si>
  <si>
    <t>0 points</t>
  </si>
  <si>
    <t>10% - 25% units = 2 points</t>
  </si>
  <si>
    <t>26% - 49% units = 3 points</t>
  </si>
  <si>
    <t>50% units or more = 4 points</t>
  </si>
  <si>
    <t xml:space="preserve"> </t>
  </si>
  <si>
    <t>DevFees</t>
  </si>
  <si>
    <t>10% - 10 Points</t>
  </si>
  <si>
    <t>11% - 8 Points</t>
  </si>
  <si>
    <t>12% - 6 Points</t>
  </si>
  <si>
    <t>13% - 4 Points</t>
  </si>
  <si>
    <t>14% - 2 Points</t>
  </si>
  <si>
    <t>15% - 0 Points</t>
  </si>
  <si>
    <t>AtRisk</t>
  </si>
  <si>
    <t>Scenario 2: Significant and immediate capital needs</t>
  </si>
  <si>
    <t>Scenario 3: (Non-Metro only) Housing Authority property in need of extensive rehabilitation</t>
  </si>
  <si>
    <t>Historic</t>
  </si>
  <si>
    <t>Listed, or determined eligible for listing, in the National Register of Historic Places</t>
  </si>
  <si>
    <t xml:space="preserve">Located in a registered Historic District </t>
  </si>
  <si>
    <t>Eligible Tribal Area</t>
  </si>
  <si>
    <t>eligible_tribes</t>
  </si>
  <si>
    <t>Chehalis - Non-Metro (10 Points)</t>
  </si>
  <si>
    <t>Colville - Non-Metro (10 Points)</t>
  </si>
  <si>
    <t>Hoh - Non-Metro (10 Points)</t>
  </si>
  <si>
    <t>Kalispel - Non-Metro (10 Points)</t>
  </si>
  <si>
    <t>Lower Elwha - Non-Metro (10 Points)</t>
  </si>
  <si>
    <t>Makah - Non-Metro (10 Points)</t>
  </si>
  <si>
    <t>Nooksack - Metro (5 Points)</t>
  </si>
  <si>
    <t>Port Gamble S'Klallam - Non Metro (10 Points)</t>
  </si>
  <si>
    <t>Quileute - Non-Metro (10 Points)</t>
  </si>
  <si>
    <t>Quinault - Non-Metro (10 Points)</t>
  </si>
  <si>
    <t>Skokomish - Non-Metro (10 Points)</t>
  </si>
  <si>
    <t>Spokane - Non-Metro (10 Points)</t>
  </si>
  <si>
    <t>Squaxin Island - Non-Metro (10 Points)</t>
  </si>
  <si>
    <t>Upper Skagit - Non-Metro (10 Points)</t>
  </si>
  <si>
    <t>Yakama - Non-Metro (10 Points)</t>
  </si>
  <si>
    <t>Location Efficient Projects</t>
  </si>
  <si>
    <t>Location_eff</t>
  </si>
  <si>
    <r>
      <t xml:space="preserve">Urban: within 0.5 mile walk from at least 5 community resources </t>
    </r>
    <r>
      <rPr>
        <u/>
        <sz val="11"/>
        <color rgb="FF000000"/>
        <rFont val="Calibri"/>
        <family val="2"/>
        <scheme val="minor"/>
      </rPr>
      <t>and</t>
    </r>
    <r>
      <rPr>
        <sz val="11"/>
        <color indexed="8"/>
        <rFont val="Calibri"/>
        <family val="2"/>
      </rPr>
      <t xml:space="preserve"> within 0.5 mile of a grocery store</t>
    </r>
  </si>
  <si>
    <r>
      <t xml:space="preserve">Urban: within 1 mile walk from 8 community resources </t>
    </r>
    <r>
      <rPr>
        <u/>
        <sz val="11"/>
        <color indexed="8"/>
        <rFont val="Calibri"/>
        <family val="2"/>
      </rPr>
      <t>and</t>
    </r>
    <r>
      <rPr>
        <sz val="11"/>
        <color indexed="8"/>
        <rFont val="Calibri"/>
        <family val="2"/>
      </rPr>
      <t xml:space="preserve"> within 0.5 mile of a grocery store</t>
    </r>
  </si>
  <si>
    <t>Rural: within 5 miles driving from 6 or more community resources, one of which is a grocery store</t>
  </si>
  <si>
    <t>King County TOD</t>
  </si>
  <si>
    <t>KC_only</t>
  </si>
  <si>
    <t>King County and in a TOD location</t>
  </si>
  <si>
    <t>a Metro County. This project is not eligible for these points</t>
  </si>
  <si>
    <t>a Non-Metro County. This project is not eligible for these points</t>
  </si>
  <si>
    <t>King County OppArea</t>
  </si>
  <si>
    <t>KC_OppArea</t>
  </si>
  <si>
    <t>King County and in a High or Very High Opportunity Area Census tract</t>
  </si>
  <si>
    <t>Job Centers</t>
  </si>
  <si>
    <t>in_within</t>
  </si>
  <si>
    <t>a Metro County and within 5 miles of</t>
  </si>
  <si>
    <t>a Non-Metro County and within 10 miles of</t>
  </si>
  <si>
    <t>King County and is not eligible for these points</t>
  </si>
  <si>
    <t>jcLookup</t>
  </si>
  <si>
    <t>LocationList</t>
  </si>
  <si>
    <t>jcMetroList</t>
  </si>
  <si>
    <t>jcNonMetroList</t>
  </si>
  <si>
    <t>jcIneligibleList</t>
  </si>
  <si>
    <t>jcListAll</t>
  </si>
  <si>
    <t>Bothell</t>
  </si>
  <si>
    <t>Camas</t>
  </si>
  <si>
    <t>Everett</t>
  </si>
  <si>
    <t>Lake Stevens</t>
  </si>
  <si>
    <t>Lakewood</t>
  </si>
  <si>
    <t>Marysville</t>
  </si>
  <si>
    <t>Mount Vista</t>
  </si>
  <si>
    <t>Orchards</t>
  </si>
  <si>
    <t>Puyallup</t>
  </si>
  <si>
    <t>South Hill</t>
  </si>
  <si>
    <t>Spokane Valley</t>
  </si>
  <si>
    <t>Sumner</t>
  </si>
  <si>
    <t>Tacoma</t>
  </si>
  <si>
    <t>Vancouver</t>
  </si>
  <si>
    <t>Woodland</t>
  </si>
  <si>
    <t>Ephrata</t>
  </si>
  <si>
    <t>Kennewick</t>
  </si>
  <si>
    <t>Lacey</t>
  </si>
  <si>
    <t>Moses Lake</t>
  </si>
  <si>
    <t>Oak Harbor</t>
  </si>
  <si>
    <t>Olympia</t>
  </si>
  <si>
    <t>Othello</t>
  </si>
  <si>
    <t>Pasco</t>
  </si>
  <si>
    <t>Port Angeles</t>
  </si>
  <si>
    <t>Port Townsend</t>
  </si>
  <si>
    <t>Quincy</t>
  </si>
  <si>
    <t>Richland</t>
  </si>
  <si>
    <t>Nonprofit Only</t>
  </si>
  <si>
    <t>For Profit Nonprofit Partnership</t>
  </si>
  <si>
    <t>Nonprofit Sponsor Waiver</t>
  </si>
  <si>
    <t>TDC_Limit</t>
  </si>
  <si>
    <t>Select from List</t>
  </si>
  <si>
    <t>Limit</t>
  </si>
  <si>
    <t>Studio</t>
  </si>
  <si>
    <t>One_Bdrm</t>
  </si>
  <si>
    <t>Two_Bdrm</t>
  </si>
  <si>
    <t>Three_Bdrm</t>
  </si>
  <si>
    <t>Four+Bdrm</t>
  </si>
  <si>
    <t>Seattle</t>
  </si>
  <si>
    <t>Balance of King</t>
  </si>
  <si>
    <t>Metro</t>
  </si>
  <si>
    <t>Balance of State</t>
  </si>
  <si>
    <t>Select From List</t>
  </si>
  <si>
    <t>$0 - $12,500,000 TPC = $15,000 Donation</t>
  </si>
  <si>
    <t>$12,500,001 and above = $25,000 Donation</t>
  </si>
  <si>
    <t>Energy Efficiency Modeling</t>
  </si>
  <si>
    <t>Option #1 from ESDS Section 1.02 (2 Points)</t>
  </si>
  <si>
    <t>Credit_Limit</t>
  </si>
  <si>
    <t>Seattle/King</t>
  </si>
  <si>
    <t>Pierce/Snohomish/Clark</t>
  </si>
  <si>
    <t>Eventual Tenant Ownership</t>
  </si>
  <si>
    <t>2 Points - Units intended for Eventual Tenant Ownership</t>
  </si>
  <si>
    <t>LIH_SetAsideLookup</t>
  </si>
  <si>
    <t>CountyList</t>
  </si>
  <si>
    <t>SetAsideLookup</t>
  </si>
  <si>
    <t>H_IncomeList</t>
  </si>
  <si>
    <t>L_IncomeList</t>
  </si>
  <si>
    <t>HIC Option 1:  50% @ 30% AMI, 25% @ 40% AMI, 25% @ 60% AMI (60 Points)</t>
  </si>
  <si>
    <t>HIC Option 2:  50% @ 30% AMI, 50% @ 50% AMI (60 Points)</t>
  </si>
  <si>
    <t>HIC Option 3:  50% @ 30% AMI, 30% @ 50% AMI, 20% @ 60% AMI (58 Points)</t>
  </si>
  <si>
    <t>HIC Option 4:  25% @ 30% AMI, 50% @ 40% AMI, 25% @ 60% AMI (56 Points)</t>
  </si>
  <si>
    <t>HIC Option 5:  50% @ 30%, 25% @ 50% AMI, 25% @ 60% AMI (56 Points)</t>
  </si>
  <si>
    <t>HIC Option 6:  Not Available in Higher Income Counties</t>
  </si>
  <si>
    <t>HIC Option 7:  50% @ 30% AMI, 10% @ 40% AMI, 40% @ 60% AMI (54 Points)</t>
  </si>
  <si>
    <t>HIC Option 8:  Not Available in Higher Income Counties</t>
  </si>
  <si>
    <t>HIC Option 9:  50% @ 40% AMI, 50% @ 50% AMI (56 Points)</t>
  </si>
  <si>
    <t>HIC Option 10:  Not Available in Higher Income Counties</t>
  </si>
  <si>
    <t>HIC Option 11:  10% @ 30% AMI, 30% @ 40% AMI, 60% @ 50% AMI (54 Points)</t>
  </si>
  <si>
    <t>HIC Option 12:  Not Available in Higher Income Counties</t>
  </si>
  <si>
    <t>HIC Option 13:  Not Available in Higher Income Counties</t>
  </si>
  <si>
    <t>HIC Option 14:  40% @ 40% AMI, 50% @ 50% AMI, 10% @ 60% AMI (54 Points)</t>
  </si>
  <si>
    <t>HIC Option 15:  25% @ 40% AMI, 75% @ 50% AMI (54 Points)</t>
  </si>
  <si>
    <t>HIC Option 16:  Not Available in Higher Income Counties</t>
  </si>
  <si>
    <t>HIC Option 17:  40% @ 40% AMI, 30@ 50% AMI, 30% @ 60% AMI (54 Points)</t>
  </si>
  <si>
    <t>LIC Option 1:  Not Available in Lower Income Counties</t>
  </si>
  <si>
    <t>LIC Option 2:  Not Available in Lower Income Counties</t>
  </si>
  <si>
    <t>LIC Option 3:  Not Available in Lower Income Counties</t>
  </si>
  <si>
    <t>LIC Option 4:  25% @ 30% AMI, 50% @ 40% AMI, 25% @ 60% AMI (60 Points)</t>
  </si>
  <si>
    <t>LIC Option 5:  Not Available in Lower Income Counties</t>
  </si>
  <si>
    <t>LIC Option 6:  10% @ 30% AMI, 50% @ 40% AMI, 40% @ 50% AMI (60 Points)</t>
  </si>
  <si>
    <t>LIC Option 7:  50% @ 30% AMI, 10% @ 40% AMI, 40% @ 60% AMI (60 Points)</t>
  </si>
  <si>
    <t>LIC Option 8:  10% @ 30% AMI, 40% @ 40% AMI, 50% @ 50% AMI (58 Points)</t>
  </si>
  <si>
    <t>LIC Option 9:  50% @ 40% AMI, 50% @ 50% AMI (58 Points)</t>
  </si>
  <si>
    <t>LIC Option 10:  10% @ 30% AMI, 60% @ 40% AMI, 30% @ 60% AMI (58 Points)</t>
  </si>
  <si>
    <t>LIC Option 11:  10% @ 30% AMI, 30% @ 40% AMI, 60% @ 50% AMI (58 Points)</t>
  </si>
  <si>
    <t>LIC Option 12:  50% @ 40% AMI, 40% @ 50% AMI, 10% @ 60% AMI (56 Points)</t>
  </si>
  <si>
    <t>LIC Option 13:  40% @ 40% AMI, 60% @ 50% AMI (56 Points)</t>
  </si>
  <si>
    <t>LIC Option 14:  40% @ 40% AMI, 50% @ 50% AMI, 10% @ 60% AMI (56 Points)</t>
  </si>
  <si>
    <t>LIC Option 15:  25% @ 40% AMI, 75% @ 50% AMI (56 Points)</t>
  </si>
  <si>
    <t>LIC Option 16:  50% @ 40% AMI, 20% @ 50% AMI, 30% @ 60% AMI (56 Points)</t>
  </si>
  <si>
    <t>LIC Option 17:  40% @ 40% AMI, 30@ 50% AMI, 30% @ 60% AMI (56 Points)</t>
  </si>
  <si>
    <t>IncomeList</t>
  </si>
  <si>
    <t>Income List</t>
  </si>
  <si>
    <t>HIC</t>
  </si>
  <si>
    <t>LIHTC PROJECT RENTS</t>
  </si>
  <si>
    <t>Instructions:</t>
  </si>
  <si>
    <r>
      <t xml:space="preserve">The purpose of the LIHTC Operating Pro Forma is for the project to demonstate financial feasibility using the LIHTC income set-asides and the maximum achievable rents.
• Do not include any income from rent subsidies or operating subsidies.
• Do not include any income from commercial space.  
• Only include the income set-asides commited to on the LIHTC scoring sheet, even if these are not the most restrictive.   
• Operating Expenses should not include the cost of services for Supportive Housing.
</t>
    </r>
    <r>
      <rPr>
        <b/>
        <sz val="11"/>
        <rFont val="Calibri"/>
        <family val="2"/>
      </rPr>
      <t>Cells shaded green are input cells</t>
    </r>
    <r>
      <rPr>
        <sz val="11"/>
        <rFont val="Calibri"/>
        <family val="2"/>
      </rPr>
      <t>; all others will autocalculate.</t>
    </r>
  </si>
  <si>
    <t>Unit Size 
(Number of Bedrooms)</t>
  </si>
  <si>
    <t>% of Median 
Income Served</t>
  </si>
  <si>
    <t>Number of Units</t>
  </si>
  <si>
    <t>Market Rent</t>
  </si>
  <si>
    <t>Maximum Allowable Tax Credit Rents</t>
  </si>
  <si>
    <t>Utility Allowance</t>
  </si>
  <si>
    <t>Net Maximum Tax Credit Rents</t>
  </si>
  <si>
    <t>Concluded Rents from Market Study</t>
  </si>
  <si>
    <t xml:space="preserve">Maximum Achievable Rents </t>
  </si>
  <si>
    <t xml:space="preserve">Annual Gross Rental Income 
</t>
  </si>
  <si>
    <t>Totals</t>
  </si>
  <si>
    <t>Maximum Allowable Tax Credit Rents are published here:</t>
  </si>
  <si>
    <t>https://www.wshfc.org/Managers/Map.aspx</t>
  </si>
  <si>
    <t>Total Development Cost Limit Calculation</t>
  </si>
  <si>
    <t>The following outlines the Commission’s Total Development Cost Limit policy:</t>
  </si>
  <si>
    <t>1.</t>
  </si>
  <si>
    <t>Total Development Cost = Total Project Cost less land and capitalized reserves</t>
  </si>
  <si>
    <t>2.</t>
  </si>
  <si>
    <t>All units - market rate, low-income and common area - are included in the calculation.</t>
  </si>
  <si>
    <t>3.</t>
  </si>
  <si>
    <t>Projects located in any county other than King County that fit the definition of an Urban Project may request to be allowed to use the TDC limits one category higher than their current category.</t>
  </si>
  <si>
    <t>4.</t>
  </si>
  <si>
    <t>Projects are subject to the Development Cost Limit Schedule in place at application.</t>
  </si>
  <si>
    <t>Which limits is this project subject to?</t>
  </si>
  <si>
    <t>Which credit limit is this project subject to?</t>
  </si>
  <si>
    <t>1 Bedroom</t>
  </si>
  <si>
    <t>2 Bedroom</t>
  </si>
  <si>
    <t>3 Bedroom</t>
  </si>
  <si>
    <t>4+ Bedroom</t>
  </si>
  <si>
    <r>
      <rPr>
        <b/>
        <sz val="9"/>
        <color indexed="8"/>
        <rFont val="Calibri"/>
        <family val="2"/>
      </rPr>
      <t>Number of Units</t>
    </r>
    <r>
      <rPr>
        <sz val="9"/>
        <color indexed="8"/>
        <rFont val="Calibri"/>
        <family val="2"/>
      </rPr>
      <t xml:space="preserve"> (Include Market Rate, Low-Income, and Common Area Units).</t>
    </r>
  </si>
  <si>
    <t>Appropriate Cost/Unit Limits</t>
  </si>
  <si>
    <t>Max Cost by Unit Type</t>
  </si>
  <si>
    <t>Max Credit per LIH Unit</t>
  </si>
  <si>
    <t>Project's Total Development Cost Limit:</t>
  </si>
  <si>
    <r>
      <t xml:space="preserve">Total Residential Project Cost </t>
    </r>
    <r>
      <rPr>
        <b/>
        <sz val="9"/>
        <color indexed="8"/>
        <rFont val="Calibri"/>
        <family val="2"/>
      </rPr>
      <t>(from Form 6D, Cell G35)</t>
    </r>
  </si>
  <si>
    <t>- Land</t>
  </si>
  <si>
    <t>- Offsite Infrastructure</t>
  </si>
  <si>
    <t>- Capitalized Reserves</t>
  </si>
  <si>
    <t>Total Development Cost</t>
  </si>
  <si>
    <r>
      <t xml:space="preserve">Total Development Cost </t>
    </r>
    <r>
      <rPr>
        <b/>
        <sz val="11"/>
        <color indexed="8"/>
        <rFont val="Symbol"/>
        <family val="1"/>
        <charset val="2"/>
      </rPr>
      <t xml:space="preserve">£ </t>
    </r>
    <r>
      <rPr>
        <b/>
        <sz val="11"/>
        <color indexed="8"/>
        <rFont val="Calibri"/>
        <family val="2"/>
      </rPr>
      <t>Total Project Cost Limit</t>
    </r>
  </si>
  <si>
    <t>If the Total Development Cost exceeds the Project's Total Develoment Cost Limit  and has not been approved for a waiver, the application will be disqualified.</t>
  </si>
  <si>
    <t xml:space="preserve">  Waiver has been approved.</t>
  </si>
  <si>
    <t xml:space="preserve">Approved Total Development Cost in Waiver = </t>
  </si>
  <si>
    <t>To improve our analysis of factors that influence Total Development Costs, please fill in the following information:</t>
  </si>
  <si>
    <t>Number of Units by Building Type:</t>
  </si>
  <si>
    <t>Project Type</t>
  </si>
  <si>
    <t>Single Family Detached</t>
  </si>
  <si>
    <t>New Construction</t>
  </si>
  <si>
    <t>Townhouse/Duplex</t>
  </si>
  <si>
    <t>Rehabilitation</t>
  </si>
  <si>
    <t>Walk-Up/Garden Style Apartments</t>
  </si>
  <si>
    <t>Low-Rise (2-3 stories with elevator)</t>
  </si>
  <si>
    <t>Wage Rate Requirements</t>
  </si>
  <si>
    <t>Mid-Rise (4-8 stories with elevator)</t>
  </si>
  <si>
    <t>State Prevailing Wages - Residential</t>
  </si>
  <si>
    <t>High Rise (9+ stories with elevator)</t>
  </si>
  <si>
    <t>State Prevailing Wages - Commercial</t>
  </si>
  <si>
    <t>Davis Bacon Wages - Residential</t>
  </si>
  <si>
    <t>Parking</t>
  </si>
  <si>
    <t>Davis Bacon Wages - Commercial</t>
  </si>
  <si>
    <t xml:space="preserve">  Number of Residential Structured Parking Stalls</t>
  </si>
  <si>
    <t>No wage requirements</t>
  </si>
  <si>
    <t>Calc_Sheet__c</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</si>
  <si>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</si>
  <si>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</si>
  <si>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</si>
  <si>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</si>
  <si>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</si>
  <si>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</si>
  <si>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</si>
  <si>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</si>
  <si>
    <t>REVENUES</t>
  </si>
  <si>
    <t>Year 1</t>
  </si>
  <si>
    <t>Year 2</t>
  </si>
  <si>
    <t>Year 3</t>
  </si>
  <si>
    <t>Year 4</t>
  </si>
  <si>
    <t>Year 5</t>
  </si>
  <si>
    <t>Year 6</t>
  </si>
  <si>
    <t>Year 7</t>
  </si>
  <si>
    <t xml:space="preserve">Residential Income </t>
  </si>
  <si>
    <t>inflation factor</t>
  </si>
  <si>
    <t>Annual Gross Rental Income</t>
  </si>
  <si>
    <t>Other:</t>
  </si>
  <si>
    <t>Name of First "Other" Source</t>
  </si>
  <si>
    <t>Name of Second "Other" Source</t>
  </si>
  <si>
    <t>Total Residential Income</t>
  </si>
  <si>
    <t>Less Annual Residential Vacancy</t>
  </si>
  <si>
    <t>EFFECTIVE GROSS INCOME (EGI)</t>
  </si>
  <si>
    <t xml:space="preserve">EXPENSES </t>
  </si>
  <si>
    <t>Operating Expenses</t>
  </si>
  <si>
    <t>Cost / Unit (Y1)</t>
  </si>
  <si>
    <t>Management - On-site</t>
  </si>
  <si>
    <t>Management - Off-site</t>
  </si>
  <si>
    <t>Accounting</t>
  </si>
  <si>
    <t>Legal Services</t>
  </si>
  <si>
    <t>Insurance</t>
  </si>
  <si>
    <t>Real Estate Taxes</t>
  </si>
  <si>
    <t>Marketing</t>
  </si>
  <si>
    <t>Security</t>
  </si>
  <si>
    <t xml:space="preserve">Maintenance and janitorial </t>
  </si>
  <si>
    <t>Decorating/Turnover</t>
  </si>
  <si>
    <t>Contract Repairs</t>
  </si>
  <si>
    <t>Landscaping</t>
  </si>
  <si>
    <t>Pest Control</t>
  </si>
  <si>
    <t>Fire Safety</t>
  </si>
  <si>
    <t>Elevator</t>
  </si>
  <si>
    <t>Water &amp; Sewer</t>
  </si>
  <si>
    <t>Garbage Removal</t>
  </si>
  <si>
    <t>Electric</t>
  </si>
  <si>
    <t>Oil/Gas/Other</t>
  </si>
  <si>
    <t>Telephone</t>
  </si>
  <si>
    <t>Other</t>
  </si>
  <si>
    <t>Total Residential Operating Expenses</t>
  </si>
  <si>
    <t>Replacement Reserve</t>
  </si>
  <si>
    <t>Operating Reserve</t>
  </si>
  <si>
    <t>Total Reserves</t>
  </si>
  <si>
    <t>TOTAL PROJECT EXPENSES</t>
  </si>
  <si>
    <t>NET OPERATING INCOME (EGI - Total Expenses)</t>
  </si>
  <si>
    <t>DEBT SERVICE</t>
  </si>
  <si>
    <t>HARD DEBT</t>
  </si>
  <si>
    <t>Loan Amount</t>
  </si>
  <si>
    <t>Lender 1</t>
  </si>
  <si>
    <t>Lender 2</t>
  </si>
  <si>
    <t>Lender 3</t>
  </si>
  <si>
    <t>TOTAL HARD DEBT SERVICE</t>
  </si>
  <si>
    <t>Gross Cash Flow</t>
  </si>
  <si>
    <t>Debt Coverage Ratio (Hard Debt)</t>
  </si>
  <si>
    <t>SOFT DEBT</t>
  </si>
  <si>
    <t>Lender 4</t>
  </si>
  <si>
    <t>Lender 5</t>
  </si>
  <si>
    <t>Lender 6</t>
  </si>
  <si>
    <t>Lender 7</t>
  </si>
  <si>
    <t>Lender 8</t>
  </si>
  <si>
    <t>Lender 9</t>
  </si>
  <si>
    <t>TOTAL SOFT  DEBT SERVICE</t>
  </si>
  <si>
    <t xml:space="preserve">Overall Debt Coverage Ratio </t>
  </si>
  <si>
    <t>Net Cash Flow</t>
  </si>
  <si>
    <t>Year 8</t>
  </si>
  <si>
    <t>Year 9</t>
  </si>
  <si>
    <t>Year 10</t>
  </si>
  <si>
    <t>Year 11</t>
  </si>
  <si>
    <t>Year 12</t>
  </si>
  <si>
    <t>Year 13</t>
  </si>
  <si>
    <t>Year 14</t>
  </si>
  <si>
    <t>Year 15</t>
  </si>
  <si>
    <t xml:space="preserve">Operating Expenses- </t>
  </si>
  <si>
    <t>TOTAL SOFT DEBT SERVICE</t>
  </si>
  <si>
    <t>Overall Coverage Ratio</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</si>
  <si>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</si>
  <si>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</si>
  <si>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</si>
  <si>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</si>
  <si>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</si>
  <si>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</si>
  <si>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</si>
  <si>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</si>
  <si>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</si>
  <si>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</si>
  <si>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</si>
  <si>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</si>
  <si>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</si>
  <si>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</si>
  <si>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</si>
  <si>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</si>
  <si>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</si>
  <si>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</si>
  <si>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</si>
  <si>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</si>
  <si>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</si>
  <si>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</si>
  <si>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</si>
  <si>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</si>
  <si>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</si>
  <si>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</si>
  <si>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</si>
  <si>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</si>
  <si>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</si>
  <si>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</si>
  <si>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</si>
  <si>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</si>
  <si>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</si>
  <si>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</si>
  <si>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</si>
  <si>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</si>
  <si>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OE_Management_Not_Off_Not_On__c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</si>
  <si>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</si>
  <si>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</si>
  <si>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</si>
  <si>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</si>
  <si>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</si>
  <si>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</si>
  <si>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</si>
  <si>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</si>
  <si>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</si>
  <si>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</si>
  <si>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</si>
  <si>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</si>
  <si>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</si>
  <si>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</si>
  <si>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</si>
  <si>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</si>
  <si>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</si>
  <si>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</si>
  <si>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</si>
  <si>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</si>
  <si>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</si>
  <si>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</si>
  <si>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</si>
  <si>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</si>
  <si>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</si>
  <si>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</si>
  <si>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</si>
  <si>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</si>
  <si>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APPLICABLE FRACTION</t>
  </si>
  <si>
    <t>If the Project is not 100% low-income units, please complete the following to determine the Applicable Fraction by building.</t>
  </si>
  <si>
    <t>Building Number</t>
  </si>
  <si>
    <t>Unit Fraction</t>
  </si>
  <si>
    <t>Floor Space Fraction</t>
  </si>
  <si>
    <t>Applicable Fraction</t>
  </si>
  <si>
    <r>
      <t xml:space="preserve">Expected Placed-In-Service Date
</t>
    </r>
    <r>
      <rPr>
        <b/>
        <sz val="8"/>
        <rFont val="Calibri"/>
        <family val="2"/>
      </rPr>
      <t>(MM/DD/YYYY)</t>
    </r>
  </si>
  <si>
    <t># of Low-Income Units</t>
  </si>
  <si>
    <t># of Market-Rate Units</t>
  </si>
  <si>
    <t>Square Footage of Low-Income Units</t>
  </si>
  <si>
    <t>Square Footage of Market-Rate Units</t>
  </si>
  <si>
    <t>A</t>
  </si>
  <si>
    <t>B</t>
  </si>
  <si>
    <t>     </t>
  </si>
  <si>
    <t>C</t>
  </si>
  <si>
    <t>D</t>
  </si>
  <si>
    <t>E</t>
  </si>
  <si>
    <t>F</t>
  </si>
  <si>
    <t>G</t>
  </si>
  <si>
    <t>H</t>
  </si>
  <si>
    <t>I</t>
  </si>
  <si>
    <t>J</t>
  </si>
  <si>
    <t>K</t>
  </si>
  <si>
    <t>L</t>
  </si>
  <si>
    <t>TOTALS FOR ALL BUILDINGS</t>
  </si>
  <si>
    <t>Eligibility for Acquisition Credit</t>
  </si>
  <si>
    <t>All Applicants acquiring or planning to acquire an Existing Building must complete the following, regardless of whether a building is considered New Production or Rehabilitation.</t>
  </si>
  <si>
    <t>The buildings in this Project are in compliance with the 10 year rule as defined in Section 42(d)(2) of the Code.  All of the following are true:</t>
  </si>
  <si>
    <t xml:space="preserve">(1)  The building(s) are being acquired by purchase, as defined in Section 179(d)(2); </t>
  </si>
  <si>
    <t>(2)  A period of at least 10 years has passed between the date of acquisition by the Applicant and</t>
  </si>
  <si>
    <t xml:space="preserve">    the date the building was last placed in service; and</t>
  </si>
  <si>
    <t>(3)  The building is in compliance with the Related Party rule under Section 42(d)(2)(B)(iii).</t>
  </si>
  <si>
    <t>This project is exempt from the 10 year rule based on the following:</t>
  </si>
  <si>
    <t>Section 42(d)(2)(D) - Special placed-in-service rules for certain types of ownership transfers</t>
  </si>
  <si>
    <t>Section 42(d)(6) - Federally- or State-assisted building(s)</t>
  </si>
  <si>
    <t>Section 42(d)(6) - Building(s) acquired from an insured depository institution in default</t>
  </si>
  <si>
    <t xml:space="preserve">A waiver from the IRS of the 10-year rule has been received.  </t>
  </si>
  <si>
    <t xml:space="preserve">Please attach evidence of compliance with the 10-year rule as outlined in Section 42(d)(2), the Special Placed-In-Service Rules of Section 42(d)(2)(D) or the exceptions to the 10-year rule outlined in Section 42(d)(6).  </t>
  </si>
  <si>
    <t>Address of Building or Building Number</t>
  </si>
  <si>
    <t>Placed-In-Service Date of Building by the Seller/Lessor</t>
  </si>
  <si>
    <t>Actual/ Proposed Date of Acquisition by Applicant</t>
  </si>
  <si>
    <t>Number of Years Between Last Placed-In-Service &amp; Acquisition</t>
  </si>
  <si>
    <t>Historic Rehabilitation Tax Credits</t>
  </si>
  <si>
    <r>
      <t>Residential Qualified Rehabilitation Expenditures</t>
    </r>
    <r>
      <rPr>
        <vertAlign val="superscript"/>
        <sz val="11"/>
        <color indexed="8"/>
        <rFont val="Calibri"/>
        <family val="2"/>
      </rPr>
      <t>[1]</t>
    </r>
  </si>
  <si>
    <r>
      <t>+ Commercial &amp; Other Non-Residential Qualified Rehabilitation Expenditures</t>
    </r>
    <r>
      <rPr>
        <vertAlign val="superscript"/>
        <sz val="11"/>
        <color indexed="8"/>
        <rFont val="Calibri"/>
        <family val="2"/>
      </rPr>
      <t>[2]</t>
    </r>
  </si>
  <si>
    <t>Total Qualified Rehabilitation Expenditures</t>
  </si>
  <si>
    <t>x Historic Rehabilitation Tax Credit Percentage</t>
  </si>
  <si>
    <t>Total Historic Rehabilitation Tax Credits</t>
  </si>
  <si>
    <t>x Tax Credit Factor for Historic Rehabilitation Tax Credits</t>
  </si>
  <si>
    <t>Net Historic Rehabilitation Tax Credit Proceeds</t>
  </si>
  <si>
    <t>Residential Qualified Rehabilitation Expenditures</t>
  </si>
  <si>
    <r>
      <t>Historic Rehabilitation Tax Credits - Residential Portion Only</t>
    </r>
    <r>
      <rPr>
        <b/>
        <vertAlign val="superscript"/>
        <sz val="11"/>
        <color indexed="8"/>
        <rFont val="Calibri"/>
        <family val="2"/>
      </rPr>
      <t>[3]</t>
    </r>
  </si>
  <si>
    <r>
      <t xml:space="preserve">Net Historic Rehabilitation Tax Credit Proceeds - Residential Portion </t>
    </r>
    <r>
      <rPr>
        <vertAlign val="superscript"/>
        <sz val="11"/>
        <color indexed="8"/>
        <rFont val="Calibri"/>
        <family val="2"/>
      </rPr>
      <t>[4]</t>
    </r>
  </si>
  <si>
    <r>
      <t xml:space="preserve">Net Historic Rehabilitation Tax Credit Proceeds - Non Residential Portion </t>
    </r>
    <r>
      <rPr>
        <vertAlign val="superscript"/>
        <sz val="11"/>
        <color indexed="8"/>
        <rFont val="Calibri"/>
        <family val="2"/>
      </rPr>
      <t>[4]</t>
    </r>
  </si>
  <si>
    <r>
      <rPr>
        <vertAlign val="superscript"/>
        <sz val="9"/>
        <color indexed="8"/>
        <rFont val="Calibri"/>
        <family val="2"/>
      </rPr>
      <t>[1]</t>
    </r>
    <r>
      <rPr>
        <sz val="9"/>
        <color indexed="8"/>
        <rFont val="Calibri"/>
        <family val="2"/>
      </rPr>
      <t xml:space="preserve"> As defined in Section 42(c)(2) of the Internal Revenue Code.</t>
    </r>
  </si>
  <si>
    <r>
      <rPr>
        <vertAlign val="superscript"/>
        <sz val="9"/>
        <color indexed="8"/>
        <rFont val="Calibri"/>
        <family val="2"/>
      </rPr>
      <t>[2]</t>
    </r>
    <r>
      <rPr>
        <sz val="9"/>
        <color indexed="8"/>
        <rFont val="Calibri"/>
        <family val="2"/>
      </rPr>
      <t xml:space="preserve"> Ibid.</t>
    </r>
  </si>
  <si>
    <r>
      <rPr>
        <vertAlign val="superscript"/>
        <sz val="9"/>
        <color indexed="8"/>
        <rFont val="Calibri"/>
        <family val="2"/>
      </rPr>
      <t>[3]</t>
    </r>
    <r>
      <rPr>
        <sz val="9"/>
        <color indexed="8"/>
        <rFont val="Calibri"/>
        <family val="2"/>
      </rPr>
      <t xml:space="preserve"> Include on Form 6D - LIHTC Calculation, Line 20 of the Combined Funders Application</t>
    </r>
  </si>
  <si>
    <r>
      <rPr>
        <vertAlign val="superscript"/>
        <sz val="9"/>
        <color indexed="8"/>
        <rFont val="Calibri"/>
        <family val="2"/>
      </rPr>
      <t>[4]</t>
    </r>
    <r>
      <rPr>
        <sz val="9"/>
        <color indexed="8"/>
        <rFont val="Calibri"/>
        <family val="2"/>
      </rPr>
      <t xml:space="preserve"> Include as a source on Form 7A - Financing of the Combined Funders Application</t>
    </r>
  </si>
  <si>
    <t>Administrative Requirements</t>
  </si>
  <si>
    <t>Public Records Act Notice</t>
  </si>
  <si>
    <t>The Applicant is advised that materials and information which are submitted to the Commission by the Applicant and/or any other party with respect to the Applicant's Project will be subject to public disclosure unless otherwise exempt from disclosure under the Washington Public Records Disclosure Act (RCW 42.17.250 et seq.).</t>
  </si>
  <si>
    <t>Notification of Local Official for the Project's Jurisdiction:</t>
  </si>
  <si>
    <t>Name of Political Jurisdiction:</t>
  </si>
  <si>
    <t>Name of CEO of the Jurisdiction:</t>
  </si>
  <si>
    <t>Title:</t>
  </si>
  <si>
    <t>Address:</t>
  </si>
  <si>
    <t>City:</t>
  </si>
  <si>
    <t>State:</t>
  </si>
  <si>
    <t>WA</t>
  </si>
  <si>
    <t>Zip Code:</t>
  </si>
  <si>
    <t>Phone:</t>
  </si>
  <si>
    <t>Fax:</t>
  </si>
  <si>
    <t>Congressional District:</t>
  </si>
  <si>
    <t>Legislative District:</t>
  </si>
  <si>
    <t>Public Housing Authority:</t>
  </si>
  <si>
    <t>Is there a public housing authority (or another agency authorized to act in lieu of a public housing authority) authorized to act in the jurisdiction where the Project is located?</t>
  </si>
  <si>
    <t>Yes</t>
  </si>
  <si>
    <t>No</t>
  </si>
  <si>
    <t>If Yes, complete the following:</t>
  </si>
  <si>
    <t>Name of Public Housing Authority:</t>
  </si>
  <si>
    <t>Contact Person:</t>
  </si>
  <si>
    <t>Email:</t>
  </si>
  <si>
    <t>APPLICANT'S REPRESENTATIONS, WARRANTIES, AND CERTIFICATION</t>
  </si>
  <si>
    <t>I, _________________________________________________________________, the Applicant and Project Owner,</t>
  </si>
  <si>
    <t>hereby certify that the information contained herein and in the Application, including any attachments thereto, is true, correct and complete.  I also certify that the Application and attached certifications have not been changed from the original format or content of forms provided by the Commission (other than completing the appropriate blanks).  I further certify that I have the requisite authority to make this certification and acknowledge that I have read the Commission's Policies and agree to carry out the terms and conditions stated therein.
I acknowledge that I am responsible for ensuring that the Project described in the Application consists or will consist of one or more Qualified Buildings and that the Project will meet the definition of a “qualified low-income housing project” as that term is defined in Section 42 of the Internal Revenue Code, as amended, and will satisfy all applicable requirements of federal income tax law in acquisition, rehabilitation, or construction and operation of the Project to receive the Credit.
I acknowledge that I am responsible for all calculations and figures relating to the determination of Total Project Costs, Adjusted Basis, Eligible Basis and Qualified Basis for each Building in the Project described in the Application, and I understand and agree that the amount of any Credit reserved or allocated is calculated with reference to the figures submitted in the Application.
I will comply with all representations and Commitments made in the Application with respect to each Building in the Project unless I submit a written request in a timely manner to approve a modification or change prior to the Commission's issuance of IRS Form 8609 for such Building and such request is approved by the Commission.  In addition, if I become aware now, or in the future, of any aspect of the Project which might disqualify it, in whole or in part, for the Credit (such as student or transient housing or HUD Section 8 Moderate Rehabilitation assistance), I will immediately notify the Commission of such information.
I agree to notify the Commission at least thirty days in advance of any significant changes in the Project (e.g., a change in the number of Buildings or Units; a change in the Project contact person, the identity of interest information, the Development Team information, or Legal Counsel and other professional representatives; a change of 10% or more of the Project's Total Project Cost; an addition or deletion of, or a major change in, a financing source; or a change of 10% or more in the operating revenue or expenses for the Project).  I acknowledge that I must provide a narrative description and other supporting documentation, plus any revised pages of the Application affected by the change(s).  The Commission reserves the right to approve or deny such changes. (Please refer to Chapter 2 of the Policies for additional information.)
I agree not to transfer or assign any right, title or interest in the Project, the Application, Credit Reservation, Carryover Allocation, and/or Allocation without the advance written consent of the Commission.  (Please refer to Chapter 9 of the Policies for additional information.)
IN WITNESS WHEREOF, I, the Applicant and Project Owner, have caused this Application and this APPLICANT'S REPRESENTATIONS, WARRANTIES AND CERTIFICATIONS to be duly executed on</t>
  </si>
  <si>
    <t xml:space="preserve"> on this _____ day of _______________, 2023.</t>
  </si>
  <si>
    <t>Legal Name of Applicant:</t>
  </si>
  <si>
    <t>By (sign):</t>
  </si>
  <si>
    <t>Its:</t>
  </si>
  <si>
    <t>Name (print)</t>
  </si>
  <si>
    <t>Title</t>
  </si>
  <si>
    <t>a Metro County and in a TOD location</t>
  </si>
  <si>
    <t>25 years - 24 points</t>
  </si>
  <si>
    <t>26 years - 25 points</t>
  </si>
  <si>
    <t>27 years - 26 points</t>
  </si>
  <si>
    <t>28 years -27 points</t>
  </si>
  <si>
    <t>29 years - 28 points</t>
  </si>
  <si>
    <t>30 years - 29 points</t>
  </si>
  <si>
    <t>31 years - 30 points</t>
  </si>
  <si>
    <t>32 years - 31 points</t>
  </si>
  <si>
    <t>33 years - 32 points</t>
  </si>
  <si>
    <t>34 years - 33 points</t>
  </si>
  <si>
    <t>35 years - 34 points</t>
  </si>
  <si>
    <t>36 years - 35 points</t>
  </si>
  <si>
    <t>37 years -  36 points</t>
  </si>
  <si>
    <t>38 years - 37 points</t>
  </si>
  <si>
    <t>39 years - 38 points</t>
  </si>
  <si>
    <t>40 years - 39 points</t>
  </si>
  <si>
    <t>41 years - 40 points</t>
  </si>
  <si>
    <t>42 years - 41 points</t>
  </si>
  <si>
    <t>43 years - 42 points</t>
  </si>
  <si>
    <t>44 years - 43 points</t>
  </si>
  <si>
    <t>45 years - 44 points</t>
  </si>
  <si>
    <t>Arlington</t>
  </si>
  <si>
    <t>Battle Ground</t>
  </si>
  <si>
    <t>Bellingham</t>
  </si>
  <si>
    <t>DuPont</t>
  </si>
  <si>
    <t>Five Corners</t>
  </si>
  <si>
    <t>Hazel Dell</t>
  </si>
  <si>
    <t>Liberty Lake</t>
  </si>
  <si>
    <t>Ridgefield</t>
  </si>
  <si>
    <t>Silver Firs</t>
  </si>
  <si>
    <t>Centralia</t>
  </si>
  <si>
    <t>College Place</t>
  </si>
  <si>
    <t>Grandview</t>
  </si>
  <si>
    <t>Longview</t>
  </si>
  <si>
    <t>Port Orchard</t>
  </si>
  <si>
    <t>Prosser</t>
  </si>
  <si>
    <t>Tumwater</t>
  </si>
  <si>
    <t>Wenatchee</t>
  </si>
  <si>
    <t>One Point will be awarded for every year of the Additional Low-Income Housing Use Period up to 45 years.</t>
  </si>
  <si>
    <t>One Point will be awarded to Projects in King County or Metro Counties that are located within the appropriate fixed-distance buffer of an existing or planned high-capacity transit location.</t>
  </si>
  <si>
    <t xml:space="preserve">Two Points will be awarded for projects that select Option #1 from ESDS Section 1.02 Advanced Tools. If project exceeds 20,000 square feet, commitment letter from energy consultant must include description on how applicant will comply with Clean Building Performance Standards. </t>
  </si>
  <si>
    <t xml:space="preserve">Two Points will be awarded to Projects that have submitted a Conversion Plan for eventual tenant ownership after the initial 15-year Compliance Period that is acceptable to the Commission. </t>
  </si>
  <si>
    <t>Nbr_of_Studio_Units__c</t>
  </si>
  <si>
    <t>Nbr_of_1_Bdrm_Units__c</t>
  </si>
  <si>
    <t>Nbr_of_2_Bdrm_Units__c</t>
  </si>
  <si>
    <t>Nbr_of_3_Bdrm_Units__c</t>
  </si>
  <si>
    <t>Nbr_of_4plus_Bdrm_Units__c</t>
  </si>
  <si>
    <t>Appropriate_Studio_Cost_per_Unit__c</t>
  </si>
  <si>
    <t>Appropriate_1Bdrm_Cost_per_Unit__c</t>
  </si>
  <si>
    <t>Appropriate_2Bdrm_Cost_per_Unit__c</t>
  </si>
  <si>
    <t>Appropriate_3Bdrm_Cost_per_Unit__c</t>
  </si>
  <si>
    <t>Appropriate_4_Bdrm_Cost_per_Unit__c</t>
  </si>
  <si>
    <t>Is_King_or_75Pct_Homeless__c</t>
  </si>
  <si>
    <t>Version</t>
  </si>
  <si>
    <t>Colville</t>
  </si>
  <si>
    <t>Omak</t>
  </si>
  <si>
    <t>West Richland</t>
  </si>
  <si>
    <t>npSponsorList</t>
  </si>
  <si>
    <t>etoRef</t>
  </si>
  <si>
    <t>UsePeriodRef</t>
  </si>
  <si>
    <t>Nonprofit Donation</t>
  </si>
  <si>
    <t>npSponsorRef</t>
  </si>
  <si>
    <t>npDonationRef</t>
  </si>
  <si>
    <t>energyEfficiencyRef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</si>
</sst>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
    <numFmt numFmtId="166" formatCode="_(&quot;$&quot;* #,##0_);_(&quot;$&quot;* \(#,##0\);_(&quot;$&quot;* &quot;-&quot;??_);_(@_)"/>
    <numFmt numFmtId="167" formatCode="&quot;$&quot;#,##0.00"/>
    <numFmt numFmtId="168" formatCode="_(&quot;$&quot;* #,##0.00_);_(&quot;$&quot;* \(#,##0.00\);_(&quot;$&quot;* &quot;-&quot;_);_(@_)"/>
  </numFmts>
  <fonts count="81" x14ac:knownFonts="1">
    <font>
      <sz val="11"/>
      <color theme="1"/>
      <name val="Calibri"/>
      <family val="2"/>
      <scheme val="minor"/>
    </font>
    <font>
      <sz val="11"/>
      <color indexed="8"/>
      <name val="Calibri"/>
      <family val="2"/>
    </font>
    <font>
      <b/>
      <sz val="11"/>
      <color indexed="8"/>
      <name val="Calibri"/>
      <family val="2"/>
    </font>
    <font>
      <u/>
      <sz val="10"/>
      <color indexed="12"/>
      <name val="Arial"/>
      <family val="2"/>
    </font>
    <font>
      <i/>
      <sz val="11"/>
      <color indexed="8"/>
      <name val="Calibri"/>
      <family val="2"/>
    </font>
    <font>
      <sz val="9"/>
      <name val="Calibri"/>
      <family val="2"/>
    </font>
    <font>
      <sz val="10"/>
      <name val="Calibri"/>
      <family val="2"/>
    </font>
    <font>
      <b/>
      <sz val="10"/>
      <name val="Calibri"/>
      <family val="2"/>
    </font>
    <font>
      <sz val="10"/>
      <name val="Arial"/>
      <family val="2"/>
    </font>
    <font>
      <b/>
      <sz val="8"/>
      <name val="Calibri"/>
      <family val="2"/>
    </font>
    <font>
      <b/>
      <sz val="9"/>
      <name val="Calibri"/>
      <family val="2"/>
    </font>
    <font>
      <b/>
      <sz val="14"/>
      <name val="Calibri"/>
      <family val="2"/>
    </font>
    <font>
      <b/>
      <sz val="12"/>
      <name val="Calibri"/>
      <family val="2"/>
    </font>
    <font>
      <sz val="10"/>
      <name val="Arial"/>
      <family val="2"/>
    </font>
    <font>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sz val="9"/>
      <color indexed="8"/>
      <name val="Calibri"/>
      <family val="2"/>
    </font>
    <font>
      <b/>
      <sz val="9"/>
      <color indexed="8"/>
      <name val="Calibri"/>
      <family val="2"/>
    </font>
    <font>
      <vertAlign val="superscript"/>
      <sz val="11"/>
      <color indexed="8"/>
      <name val="Calibri"/>
      <family val="2"/>
    </font>
    <font>
      <vertAlign val="superscript"/>
      <sz val="9"/>
      <color indexed="8"/>
      <name val="Calibri"/>
      <family val="2"/>
    </font>
    <font>
      <b/>
      <vertAlign val="superscript"/>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b/>
      <sz val="10"/>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b/>
      <sz val="11"/>
      <color indexed="8"/>
      <name val="Symbol"/>
      <family val="1"/>
      <charset val="2"/>
    </font>
    <font>
      <i/>
      <sz val="11"/>
      <name val="Calibri"/>
      <family val="2"/>
    </font>
    <font>
      <u/>
      <sz val="10"/>
      <color indexed="12"/>
      <name val="Calibri"/>
      <family val="2"/>
    </font>
    <font>
      <b/>
      <sz val="16"/>
      <color indexed="8"/>
      <name val="Calibri"/>
      <family val="2"/>
    </font>
    <font>
      <i/>
      <sz val="9"/>
      <color indexed="48"/>
      <name val="Calibri"/>
      <family val="2"/>
    </font>
    <font>
      <b/>
      <i/>
      <sz val="9"/>
      <color indexed="48"/>
      <name val="Calibri"/>
      <family val="2"/>
    </font>
    <font>
      <i/>
      <sz val="9"/>
      <color indexed="8"/>
      <name val="Calibri"/>
      <family val="2"/>
    </font>
    <font>
      <b/>
      <i/>
      <sz val="9"/>
      <color indexed="8"/>
      <name val="Calibri"/>
      <family val="2"/>
    </font>
    <font>
      <i/>
      <sz val="9"/>
      <name val="Calibri"/>
      <family val="2"/>
    </font>
    <font>
      <b/>
      <u/>
      <sz val="11"/>
      <name val="Calibri"/>
      <family val="2"/>
    </font>
    <font>
      <u/>
      <sz val="11"/>
      <color indexed="8"/>
      <name val="Calibri"/>
      <family val="2"/>
    </font>
    <font>
      <b/>
      <u/>
      <sz val="10"/>
      <name val="Calibri"/>
      <family val="2"/>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4"/>
      <color theme="1"/>
      <name val="Calibri"/>
      <family val="2"/>
      <scheme val="minor"/>
    </font>
    <font>
      <sz val="9"/>
      <color theme="1"/>
      <name val="Calibri"/>
      <family val="2"/>
      <scheme val="minor"/>
    </font>
    <font>
      <sz val="11"/>
      <color theme="1"/>
      <name val="Calibri"/>
      <family val="2"/>
    </font>
    <font>
      <sz val="9"/>
      <color theme="1"/>
      <name val="Calibri"/>
      <family val="2"/>
    </font>
    <font>
      <sz val="11"/>
      <name val="Calibri"/>
      <family val="2"/>
      <scheme val="minor"/>
    </font>
    <font>
      <b/>
      <sz val="11"/>
      <color indexed="8"/>
      <name val="Calibri"/>
      <family val="2"/>
      <scheme val="minor"/>
    </font>
    <font>
      <b/>
      <sz val="11"/>
      <name val="Calibri"/>
      <family val="2"/>
      <scheme val="minor"/>
    </font>
    <font>
      <b/>
      <sz val="10"/>
      <name val="Calibri"/>
      <family val="2"/>
      <scheme val="minor"/>
    </font>
    <font>
      <sz val="11"/>
      <color indexed="8"/>
      <name val="Calibri"/>
      <family val="2"/>
      <scheme val="minor"/>
    </font>
    <font>
      <sz val="9"/>
      <name val="Calibri"/>
      <family val="2"/>
      <scheme val="minor"/>
    </font>
    <font>
      <b/>
      <sz val="9"/>
      <color indexed="8"/>
      <name val="Calibri"/>
      <family val="2"/>
      <scheme val="minor"/>
    </font>
    <font>
      <b/>
      <sz val="9"/>
      <name val="Calibri"/>
      <family val="2"/>
      <scheme val="minor"/>
    </font>
    <font>
      <b/>
      <i/>
      <sz val="9"/>
      <name val="Calibri"/>
      <family val="2"/>
      <scheme val="minor"/>
    </font>
    <font>
      <i/>
      <sz val="9"/>
      <name val="Calibri"/>
      <family val="2"/>
      <scheme val="minor"/>
    </font>
    <font>
      <b/>
      <i/>
      <sz val="8"/>
      <name val="Calibri"/>
      <family val="2"/>
      <scheme val="minor"/>
    </font>
    <font>
      <b/>
      <sz val="9"/>
      <color indexed="10"/>
      <name val="Calibri"/>
      <family val="2"/>
      <scheme val="minor"/>
    </font>
    <font>
      <b/>
      <sz val="9"/>
      <color theme="1"/>
      <name val="Calibri"/>
      <family val="2"/>
      <scheme val="minor"/>
    </font>
    <font>
      <b/>
      <i/>
      <sz val="8"/>
      <name val="Calibri"/>
      <family val="2"/>
    </font>
    <font>
      <b/>
      <u/>
      <sz val="11"/>
      <color rgb="FFFF0000"/>
      <name val="Calibri"/>
      <family val="2"/>
    </font>
    <font>
      <b/>
      <sz val="10"/>
      <color rgb="FFFF0000"/>
      <name val="Calibri"/>
      <family val="2"/>
    </font>
    <font>
      <sz val="11"/>
      <color theme="0"/>
      <name val="Calibri"/>
      <family val="2"/>
    </font>
    <font>
      <i/>
      <sz val="10"/>
      <color indexed="8"/>
      <name val="Calibri"/>
      <family val="2"/>
    </font>
    <font>
      <u/>
      <sz val="11"/>
      <color rgb="FF000000"/>
      <name val="Calibri"/>
      <family val="2"/>
      <scheme val="minor"/>
    </font>
    <font>
      <sz val="8"/>
      <name val="Calibri"/>
      <family val="2"/>
      <scheme val="minor"/>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lightTrellis">
        <bgColor indexed="22"/>
      </patternFill>
    </fill>
    <fill>
      <patternFill patternType="solid">
        <fgColor indexed="22"/>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rgb="FFFFFFCC"/>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59999389629810485"/>
        <bgColor indexed="64"/>
      </patternFill>
    </fill>
  </fills>
  <borders count="27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22"/>
      </right>
      <top style="medium">
        <color indexed="64"/>
      </top>
      <bottom style="thin">
        <color indexed="22"/>
      </bottom>
      <diagonal/>
    </border>
    <border>
      <left style="medium">
        <color indexed="64"/>
      </left>
      <right style="thin">
        <color indexed="22"/>
      </right>
      <top style="thin">
        <color indexed="22"/>
      </top>
      <bottom style="double">
        <color indexed="64"/>
      </bottom>
      <diagonal/>
    </border>
    <border>
      <left style="thin">
        <color indexed="22"/>
      </left>
      <right style="thin">
        <color indexed="22"/>
      </right>
      <top style="thin">
        <color indexed="22"/>
      </top>
      <bottom style="double">
        <color indexed="64"/>
      </bottom>
      <diagonal/>
    </border>
    <border>
      <left style="thin">
        <color indexed="22"/>
      </left>
      <right style="medium">
        <color indexed="64"/>
      </right>
      <top style="thin">
        <color indexed="22"/>
      </top>
      <bottom style="double">
        <color indexed="64"/>
      </bottom>
      <diagonal/>
    </border>
    <border>
      <left/>
      <right style="medium">
        <color indexed="64"/>
      </right>
      <top style="thin">
        <color indexed="22"/>
      </top>
      <bottom style="thin">
        <color indexed="22"/>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thin">
        <color indexed="22"/>
      </left>
      <right style="medium">
        <color indexed="64"/>
      </right>
      <top style="double">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medium">
        <color indexed="64"/>
      </right>
      <top style="thin">
        <color indexed="22"/>
      </top>
      <bottom/>
      <diagonal/>
    </border>
    <border>
      <left/>
      <right style="thin">
        <color indexed="22"/>
      </right>
      <top style="thin">
        <color indexed="22"/>
      </top>
      <bottom style="double">
        <color indexed="64"/>
      </bottom>
      <diagonal/>
    </border>
    <border>
      <left/>
      <right style="thin">
        <color indexed="22"/>
      </right>
      <top/>
      <bottom style="medium">
        <color indexed="64"/>
      </bottom>
      <diagonal/>
    </border>
    <border>
      <left/>
      <right style="thin">
        <color indexed="22"/>
      </right>
      <top style="medium">
        <color indexed="64"/>
      </top>
      <bottom style="thin">
        <color indexed="22"/>
      </bottom>
      <diagonal/>
    </border>
    <border>
      <left/>
      <right style="thin">
        <color indexed="22"/>
      </right>
      <top style="thin">
        <color indexed="22"/>
      </top>
      <bottom/>
      <diagonal/>
    </border>
    <border>
      <left/>
      <right style="thin">
        <color indexed="22"/>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right style="hair">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22"/>
      </right>
      <top/>
      <bottom/>
      <diagonal/>
    </border>
    <border>
      <left style="thin">
        <color indexed="22"/>
      </left>
      <right/>
      <top style="thin">
        <color indexed="22"/>
      </top>
      <bottom style="thin">
        <color indexed="22"/>
      </bottom>
      <diagonal/>
    </border>
    <border>
      <left/>
      <right style="medium">
        <color indexed="64"/>
      </right>
      <top style="medium">
        <color indexed="64"/>
      </top>
      <bottom style="medium">
        <color indexed="64"/>
      </bottom>
      <diagonal/>
    </border>
    <border>
      <left/>
      <right style="thin">
        <color indexed="22"/>
      </right>
      <top style="medium">
        <color indexed="64"/>
      </top>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style="thin">
        <color rgb="FF00B050"/>
      </left>
      <right style="thin">
        <color rgb="FF00B050"/>
      </right>
      <top style="thin">
        <color rgb="FF00B050"/>
      </top>
      <bottom style="thin">
        <color rgb="FF00B050"/>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medium">
        <color indexed="64"/>
      </right>
      <top style="thin">
        <color theme="0" tint="-0.14996795556505021"/>
      </top>
      <bottom style="thin">
        <color indexed="64"/>
      </bottom>
      <diagonal/>
    </border>
    <border>
      <left/>
      <right/>
      <top/>
      <bottom style="medium">
        <color theme="3" tint="-0.24994659260841701"/>
      </bottom>
      <diagonal/>
    </border>
    <border>
      <left/>
      <right/>
      <top style="medium">
        <color indexed="64"/>
      </top>
      <bottom style="medium">
        <color theme="3" tint="-0.24994659260841701"/>
      </bottom>
      <diagonal/>
    </border>
    <border>
      <left/>
      <right/>
      <top style="medium">
        <color theme="3" tint="-0.24994659260841701"/>
      </top>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right style="medium">
        <color indexed="64"/>
      </right>
      <top/>
      <bottom style="hair">
        <color theme="0" tint="-0.14993743705557422"/>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medium">
        <color indexed="64"/>
      </left>
      <right style="thin">
        <color theme="0" tint="-0.14996795556505021"/>
      </right>
      <top style="thin">
        <color theme="0" tint="-0.14996795556505021"/>
      </top>
      <bottom style="double">
        <color indexed="64"/>
      </bottom>
      <diagonal/>
    </border>
    <border>
      <left style="thin">
        <color theme="0" tint="-0.14996795556505021"/>
      </left>
      <right style="thin">
        <color theme="0" tint="-0.14996795556505021"/>
      </right>
      <top style="thin">
        <color theme="0" tint="-0.14996795556505021"/>
      </top>
      <bottom style="double">
        <color indexed="64"/>
      </bottom>
      <diagonal/>
    </border>
    <border>
      <left style="thin">
        <color theme="0" tint="-0.14996795556505021"/>
      </left>
      <right style="medium">
        <color indexed="64"/>
      </right>
      <top style="thin">
        <color theme="0" tint="-0.14996795556505021"/>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medium">
        <color indexed="64"/>
      </right>
      <top style="hair">
        <color theme="0" tint="-0.14993743705557422"/>
      </top>
      <bottom style="hair">
        <color theme="0" tint="-0.14996795556505021"/>
      </bottom>
      <diagonal/>
    </border>
    <border>
      <left style="medium">
        <color indexed="64"/>
      </left>
      <right style="thin">
        <color theme="0" tint="-0.14996795556505021"/>
      </right>
      <top style="thin">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right style="medium">
        <color indexed="64"/>
      </right>
      <top/>
      <bottom style="thin">
        <color theme="0" tint="-0.14996795556505021"/>
      </bottom>
      <diagonal/>
    </border>
    <border>
      <left/>
      <right style="thin">
        <color theme="0" tint="-0.14996795556505021"/>
      </right>
      <top/>
      <bottom style="medium">
        <color indexed="64"/>
      </bottom>
      <diagonal/>
    </border>
    <border>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right style="thin">
        <color theme="0" tint="-0.14996795556505021"/>
      </right>
      <top style="medium">
        <color indexed="64"/>
      </top>
      <bottom style="medium">
        <color indexed="64"/>
      </bottom>
      <diagonal/>
    </border>
    <border>
      <left/>
      <right style="thin">
        <color theme="0" tint="-0.14996795556505021"/>
      </right>
      <top style="medium">
        <color indexed="64"/>
      </top>
      <bottom style="thin">
        <color theme="0" tint="-0.14996795556505021"/>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indexed="22"/>
      </left>
      <right/>
      <top style="thin">
        <color indexed="22"/>
      </top>
      <bottom style="medium">
        <color theme="1"/>
      </bottom>
      <diagonal/>
    </border>
    <border>
      <left/>
      <right style="medium">
        <color indexed="64"/>
      </right>
      <top style="thin">
        <color indexed="22"/>
      </top>
      <bottom style="medium">
        <color theme="1"/>
      </bottom>
      <diagonal/>
    </border>
    <border>
      <left/>
      <right/>
      <top style="medium">
        <color theme="1"/>
      </top>
      <bottom/>
      <diagonal/>
    </border>
    <border>
      <left/>
      <right style="medium">
        <color indexed="64"/>
      </right>
      <top style="medium">
        <color theme="1"/>
      </top>
      <bottom/>
      <diagonal/>
    </border>
    <border>
      <left style="medium">
        <color indexed="64"/>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style="medium">
        <color indexed="64"/>
      </right>
      <top style="double">
        <color indexed="64"/>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double">
        <color indexed="64"/>
      </top>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B050"/>
      </left>
      <right style="thin">
        <color rgb="FF00B050"/>
      </right>
      <top style="thin">
        <color rgb="FF00B050"/>
      </top>
      <bottom/>
      <diagonal/>
    </border>
    <border>
      <left style="thin">
        <color indexed="64"/>
      </left>
      <right style="thin">
        <color indexed="64"/>
      </right>
      <top style="thin">
        <color indexed="64"/>
      </top>
      <bottom/>
      <diagonal/>
    </border>
    <border>
      <left style="thin">
        <color rgb="FF00B050"/>
      </left>
      <right/>
      <top/>
      <bottom/>
      <diagonal/>
    </border>
    <border>
      <left style="hair">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right style="double">
        <color indexed="64"/>
      </right>
      <top style="hair">
        <color indexed="64"/>
      </top>
      <bottom/>
      <diagonal/>
    </border>
    <border>
      <left/>
      <right style="medium">
        <color indexed="64"/>
      </right>
      <top style="thin">
        <color indexed="64"/>
      </top>
      <bottom/>
      <diagonal/>
    </border>
    <border>
      <left style="medium">
        <color indexed="64"/>
      </left>
      <right/>
      <top style="thin">
        <color theme="0" tint="-0.249977111117893"/>
      </top>
      <bottom/>
      <diagonal/>
    </border>
    <border>
      <left/>
      <right/>
      <top style="thin">
        <color theme="0" tint="-0.249977111117893"/>
      </top>
      <bottom/>
      <diagonal/>
    </border>
    <border>
      <left/>
      <right style="thin">
        <color indexed="22"/>
      </right>
      <top style="thin">
        <color theme="0" tint="-0.249977111117893"/>
      </top>
      <bottom/>
      <diagonal/>
    </border>
    <border>
      <left style="medium">
        <color indexed="64"/>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indexed="22"/>
      </right>
      <top style="thin">
        <color theme="0" tint="-0.249977111117893"/>
      </top>
      <bottom style="medium">
        <color indexed="64"/>
      </bottom>
      <diagonal/>
    </border>
    <border>
      <left/>
      <right/>
      <top style="medium">
        <color indexed="64"/>
      </top>
      <bottom style="thin">
        <color theme="0" tint="-0.249977111117893"/>
      </bottom>
      <diagonal/>
    </border>
    <border>
      <left/>
      <right style="thin">
        <color indexed="22"/>
      </right>
      <top style="medium">
        <color indexed="64"/>
      </top>
      <bottom style="thin">
        <color theme="0" tint="-0.249977111117893"/>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thin">
        <color theme="0" tint="-0.14996795556505021"/>
      </left>
      <right style="thin">
        <color theme="0" tint="-0.14996795556505021"/>
      </right>
      <top style="medium">
        <color indexed="64"/>
      </top>
      <bottom/>
      <diagonal/>
    </border>
    <border>
      <left style="medium">
        <color indexed="64"/>
      </left>
      <right style="thin">
        <color theme="0" tint="-0.14999847407452621"/>
      </right>
      <top style="thin">
        <color theme="0" tint="-0.14996795556505021"/>
      </top>
      <bottom style="medium">
        <color indexed="64"/>
      </bottom>
      <diagonal/>
    </border>
    <border>
      <left style="thin">
        <color theme="0" tint="-0.14999847407452621"/>
      </left>
      <right/>
      <top style="thin">
        <color theme="0" tint="-0.14996795556505021"/>
      </top>
      <bottom style="medium">
        <color indexed="64"/>
      </bottom>
      <diagonal/>
    </border>
    <border>
      <left style="thin">
        <color theme="0" tint="-0.14999847407452621"/>
      </left>
      <right style="medium">
        <color indexed="64"/>
      </right>
      <top style="thin">
        <color theme="0" tint="-0.14996795556505021"/>
      </top>
      <bottom style="medium">
        <color indexed="64"/>
      </bottom>
      <diagonal/>
    </border>
    <border>
      <left style="medium">
        <color indexed="64"/>
      </left>
      <right style="thin">
        <color indexed="22"/>
      </right>
      <top style="medium">
        <color indexed="64"/>
      </top>
      <bottom/>
      <diagonal/>
    </border>
    <border>
      <left style="medium">
        <color indexed="64"/>
      </left>
      <right style="thin">
        <color indexed="22"/>
      </right>
      <top style="thin">
        <color theme="0" tint="-0.249977111117893"/>
      </top>
      <bottom style="double">
        <color indexed="64"/>
      </bottom>
      <diagonal/>
    </border>
    <border>
      <left/>
      <right style="medium">
        <color indexed="64"/>
      </right>
      <top style="hair">
        <color theme="0" tint="-0.14999847407452621"/>
      </top>
      <bottom style="thin">
        <color indexed="64"/>
      </bottom>
      <diagonal/>
    </border>
    <border>
      <left/>
      <right/>
      <top style="hair">
        <color theme="0" tint="-0.14999847407452621"/>
      </top>
      <bottom style="thin">
        <color indexed="64"/>
      </bottom>
      <diagonal/>
    </border>
    <border>
      <left style="medium">
        <color indexed="64"/>
      </left>
      <right/>
      <top style="thin">
        <color indexed="64"/>
      </top>
      <bottom style="thin">
        <color theme="0" tint="-0.14996795556505021"/>
      </bottom>
      <diagonal/>
    </border>
    <border>
      <left style="thin">
        <color theme="0" tint="-0.14999847407452621"/>
      </left>
      <right style="thin">
        <color theme="0" tint="-0.14996795556505021"/>
      </right>
      <top style="thin">
        <color theme="0" tint="-0.14996795556505021"/>
      </top>
      <bottom style="thin">
        <color indexed="64"/>
      </bottom>
      <diagonal/>
    </border>
    <border>
      <left style="medium">
        <color indexed="64"/>
      </left>
      <right/>
      <top style="thin">
        <color theme="0" tint="-0.14999847407452621"/>
      </top>
      <bottom style="thin">
        <color indexed="64"/>
      </bottom>
      <diagonal/>
    </border>
    <border>
      <left style="medium">
        <color indexed="64"/>
      </left>
      <right style="thin">
        <color theme="0" tint="-0.14999847407452621"/>
      </right>
      <top style="thin">
        <color theme="0" tint="-0.14996795556505021"/>
      </top>
      <bottom style="thin">
        <color theme="0" tint="-0.14999847407452621"/>
      </bottom>
      <diagonal/>
    </border>
    <border>
      <left style="thin">
        <color theme="0" tint="-0.14999847407452621"/>
      </left>
      <right style="thin">
        <color theme="0" tint="-0.14996795556505021"/>
      </right>
      <top style="thin">
        <color indexed="64"/>
      </top>
      <bottom style="medium">
        <color indexed="64"/>
      </bottom>
      <diagonal/>
    </border>
    <border>
      <left style="medium">
        <color indexed="64"/>
      </left>
      <right/>
      <top style="thin">
        <color indexed="64"/>
      </top>
      <bottom style="medium">
        <color indexed="64"/>
      </bottom>
      <diagonal/>
    </border>
    <border>
      <left style="thin">
        <color theme="0" tint="-0.14999847407452621"/>
      </left>
      <right/>
      <top style="thin">
        <color theme="0" tint="-0.14996795556505021"/>
      </top>
      <bottom style="thin">
        <color indexed="64"/>
      </bottom>
      <diagonal/>
    </border>
    <border>
      <left/>
      <right style="medium">
        <color indexed="64"/>
      </right>
      <top/>
      <bottom style="hair">
        <color theme="0" tint="-0.14999847407452621"/>
      </bottom>
      <diagonal/>
    </border>
    <border>
      <left/>
      <right/>
      <top/>
      <bottom style="hair">
        <color theme="0" tint="-0.14999847407452621"/>
      </bottom>
      <diagonal/>
    </border>
    <border>
      <left style="medium">
        <color indexed="64"/>
      </left>
      <right style="thin">
        <color theme="0" tint="-0.14999847407452621"/>
      </right>
      <top/>
      <bottom style="medium">
        <color indexed="64"/>
      </bottom>
      <diagonal/>
    </border>
    <border>
      <left style="thin">
        <color theme="0" tint="-0.14999847407452621"/>
      </left>
      <right style="thin">
        <color theme="0" tint="-0.14999847407452621"/>
      </right>
      <top/>
      <bottom style="medium">
        <color indexed="64"/>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medium">
        <color indexed="64"/>
      </left>
      <right style="thin">
        <color theme="0" tint="-0.14999847407452621"/>
      </right>
      <top style="thin">
        <color theme="0" tint="-0.14996795556505021"/>
      </top>
      <bottom style="thin">
        <color indexed="64"/>
      </bottom>
      <diagonal/>
    </border>
    <border>
      <left style="medium">
        <color indexed="64"/>
      </left>
      <right style="thin">
        <color theme="0" tint="-0.14999847407452621"/>
      </right>
      <top style="thin">
        <color theme="0" tint="-0.14996795556505021"/>
      </top>
      <bottom style="thin">
        <color theme="0" tint="-0.14996795556505021"/>
      </bottom>
      <diagonal/>
    </border>
    <border>
      <left style="medium">
        <color indexed="64"/>
      </left>
      <right/>
      <top style="thin">
        <color theme="0" tint="-0.14996795556505021"/>
      </top>
      <bottom style="double">
        <color indexed="64"/>
      </bottom>
      <diagonal/>
    </border>
    <border>
      <left style="thin">
        <color theme="0" tint="-0.14999847407452621"/>
      </left>
      <right style="thin">
        <color theme="0" tint="-0.14996795556505021"/>
      </right>
      <top/>
      <bottom style="double">
        <color indexed="64"/>
      </bottom>
      <diagonal/>
    </border>
    <border>
      <left style="thin">
        <color theme="0" tint="-0.14996795556505021"/>
      </left>
      <right style="thin">
        <color theme="0" tint="-0.14996795556505021"/>
      </right>
      <top/>
      <bottom style="double">
        <color indexed="64"/>
      </bottom>
      <diagonal/>
    </border>
    <border>
      <left style="thin">
        <color theme="0" tint="-0.14996795556505021"/>
      </left>
      <right style="medium">
        <color indexed="64"/>
      </right>
      <top/>
      <bottom style="double">
        <color indexed="64"/>
      </bottom>
      <diagonal/>
    </border>
    <border>
      <left style="medium">
        <color indexed="64"/>
      </left>
      <right style="thin">
        <color theme="0" tint="-0.14999847407452621"/>
      </right>
      <top style="double">
        <color indexed="64"/>
      </top>
      <bottom style="medium">
        <color indexed="64"/>
      </bottom>
      <diagonal/>
    </border>
    <border>
      <left/>
      <right style="medium">
        <color indexed="64"/>
      </right>
      <top style="thin">
        <color theme="0" tint="-0.14999847407452621"/>
      </top>
      <bottom style="thin">
        <color theme="0" tint="-0.14999847407452621"/>
      </bottom>
      <diagonal/>
    </border>
    <border>
      <left style="thin">
        <color theme="0" tint="-0.14996795556505021"/>
      </left>
      <right style="thin">
        <color theme="0" tint="-0.14999847407452621"/>
      </right>
      <top style="thin">
        <color indexed="64"/>
      </top>
      <bottom/>
      <diagonal/>
    </border>
    <border>
      <left/>
      <right/>
      <top style="thin">
        <color theme="0" tint="-0.14999847407452621"/>
      </top>
      <bottom style="thin">
        <color theme="0" tint="-0.14999847407452621"/>
      </bottom>
      <diagonal/>
    </border>
    <border>
      <left style="thin">
        <color theme="0" tint="-0.14999847407452621"/>
      </left>
      <right style="medium">
        <color indexed="64"/>
      </right>
      <top style="thin">
        <color indexed="64"/>
      </top>
      <bottom style="thin">
        <color theme="0" tint="-0.14999847407452621"/>
      </bottom>
      <diagonal/>
    </border>
    <border>
      <left style="thin">
        <color theme="0" tint="-0.14996795556505021"/>
      </left>
      <right style="thin">
        <color theme="0" tint="-0.14999847407452621"/>
      </right>
      <top/>
      <bottom style="thin">
        <color theme="0" tint="-0.14996795556505021"/>
      </bottom>
      <diagonal/>
    </border>
    <border>
      <left style="thin">
        <color theme="0" tint="-0.14996795556505021"/>
      </left>
      <right style="thin">
        <color theme="0" tint="-0.14999847407452621"/>
      </right>
      <top style="thin">
        <color theme="0" tint="-0.14996795556505021"/>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bottom style="thin">
        <color theme="0" tint="-0.14996795556505021"/>
      </bottom>
      <diagonal/>
    </border>
    <border>
      <left style="thin">
        <color theme="0" tint="-0.14999847407452621"/>
      </left>
      <right style="thin">
        <color theme="0" tint="-0.14999847407452621"/>
      </right>
      <top style="thin">
        <color theme="0" tint="-0.149967955565050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top/>
      <bottom style="thin">
        <color theme="0" tint="-0.249977111117893"/>
      </bottom>
      <diagonal/>
    </border>
    <border>
      <left/>
      <right/>
      <top/>
      <bottom style="thin">
        <color theme="0" tint="-0.249977111117893"/>
      </bottom>
      <diagonal/>
    </border>
    <border>
      <left/>
      <right style="medium">
        <color indexed="64"/>
      </right>
      <top/>
      <bottom style="thin">
        <color theme="0" tint="-0.249977111117893"/>
      </bottom>
      <diagonal/>
    </border>
    <border>
      <left style="medium">
        <color indexed="64"/>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style="medium">
        <color indexed="64"/>
      </right>
      <top style="thin">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s>
  <cellStyleXfs count="74">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1" fillId="3" borderId="0" applyNumberFormat="0" applyBorder="0" applyAlignment="0" applyProtection="0"/>
    <xf numFmtId="0" fontId="32" fillId="20" borderId="1" applyNumberFormat="0" applyAlignment="0" applyProtection="0"/>
    <xf numFmtId="0" fontId="33" fillId="21" borderId="2" applyNumberFormat="0" applyAlignment="0" applyProtection="0"/>
    <xf numFmtId="44" fontId="53" fillId="0" borderId="0" applyFont="0" applyFill="0" applyBorder="0" applyAlignment="0" applyProtection="0"/>
    <xf numFmtId="44" fontId="1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4" fillId="0" borderId="0" applyNumberFormat="0" applyFill="0" applyBorder="0" applyAlignment="0" applyProtection="0"/>
    <xf numFmtId="0" fontId="35"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36" fillId="7" borderId="1" applyNumberFormat="0" applyAlignment="0" applyProtection="0"/>
    <xf numFmtId="0" fontId="37" fillId="0" borderId="6" applyNumberFormat="0" applyFill="0" applyAlignment="0" applyProtection="0"/>
    <xf numFmtId="0" fontId="38" fillId="22" borderId="0" applyNumberFormat="0" applyBorder="0" applyAlignment="0" applyProtection="0"/>
    <xf numFmtId="0" fontId="8" fillId="0" borderId="0"/>
    <xf numFmtId="0" fontId="13" fillId="0" borderId="0"/>
    <xf numFmtId="0" fontId="8" fillId="0" borderId="0"/>
    <xf numFmtId="0" fontId="53" fillId="0" borderId="0"/>
    <xf numFmtId="0" fontId="53" fillId="0" borderId="0"/>
    <xf numFmtId="0" fontId="13" fillId="0" borderId="0"/>
    <xf numFmtId="0" fontId="8" fillId="0" borderId="0"/>
    <xf numFmtId="0" fontId="1" fillId="0" borderId="0"/>
    <xf numFmtId="0" fontId="13" fillId="0" borderId="0"/>
    <xf numFmtId="0" fontId="8" fillId="0" borderId="0"/>
    <xf numFmtId="0" fontId="53" fillId="0" borderId="0"/>
    <xf numFmtId="0" fontId="13" fillId="0" borderId="0"/>
    <xf numFmtId="0" fontId="8" fillId="0" borderId="0"/>
    <xf numFmtId="0" fontId="13" fillId="0" borderId="0"/>
    <xf numFmtId="0" fontId="13" fillId="0" borderId="0"/>
    <xf numFmtId="0" fontId="8" fillId="0" borderId="0"/>
    <xf numFmtId="0" fontId="8" fillId="0" borderId="0"/>
    <xf numFmtId="0" fontId="1" fillId="0" borderId="0"/>
    <xf numFmtId="0" fontId="29" fillId="0" borderId="0"/>
    <xf numFmtId="0" fontId="1" fillId="0" borderId="0"/>
    <xf numFmtId="0" fontId="13" fillId="23" borderId="7" applyNumberFormat="0" applyFont="0" applyAlignment="0" applyProtection="0"/>
    <xf numFmtId="0" fontId="8" fillId="23" borderId="7" applyNumberFormat="0" applyFont="0" applyAlignment="0" applyProtection="0"/>
    <xf numFmtId="0" fontId="39" fillId="20" borderId="8" applyNumberFormat="0" applyAlignment="0" applyProtection="0"/>
    <xf numFmtId="9" fontId="53"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0" fontId="27" fillId="0" borderId="0" applyNumberFormat="0" applyFill="0" applyBorder="0" applyAlignment="0" applyProtection="0"/>
    <xf numFmtId="0" fontId="18" fillId="0" borderId="9" applyNumberFormat="0" applyFill="0" applyAlignment="0" applyProtection="0"/>
    <xf numFmtId="0" fontId="40" fillId="0" borderId="0" applyNumberFormat="0" applyFill="0" applyBorder="0" applyAlignment="0" applyProtection="0"/>
    <xf numFmtId="43" fontId="53" fillId="0" borderId="0" applyFont="0" applyFill="0" applyBorder="0" applyAlignment="0" applyProtection="0"/>
    <xf numFmtId="0" fontId="1" fillId="29" borderId="180" applyBorder="0"/>
  </cellStyleXfs>
  <cellXfs count="807">
    <xf numFmtId="0" fontId="0" fillId="0" borderId="0" xfId="0"/>
    <xf numFmtId="0" fontId="54" fillId="0" borderId="0" xfId="0" applyFont="1"/>
    <xf numFmtId="49" fontId="0" fillId="0" borderId="0" xfId="0" applyNumberFormat="1"/>
    <xf numFmtId="1" fontId="15" fillId="29" borderId="37" xfId="0" applyNumberFormat="1" applyFont="1" applyFill="1" applyBorder="1" applyAlignment="1" applyProtection="1">
      <alignment horizontal="center" vertical="center"/>
      <protection locked="0"/>
    </xf>
    <xf numFmtId="9" fontId="42" fillId="29" borderId="33" xfId="0" applyNumberFormat="1" applyFont="1" applyFill="1" applyBorder="1" applyAlignment="1" applyProtection="1">
      <alignment horizontal="center" vertical="center" wrapText="1"/>
      <protection locked="0"/>
    </xf>
    <xf numFmtId="1" fontId="15" fillId="29" borderId="33" xfId="0" applyNumberFormat="1" applyFont="1" applyFill="1" applyBorder="1" applyAlignment="1" applyProtection="1">
      <alignment horizontal="center" vertical="center"/>
      <protection locked="0"/>
    </xf>
    <xf numFmtId="1" fontId="15" fillId="29" borderId="38"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wrapText="1"/>
      <protection locked="0"/>
    </xf>
    <xf numFmtId="1" fontId="15" fillId="29" borderId="32"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protection locked="0"/>
    </xf>
    <xf numFmtId="1" fontId="15" fillId="29" borderId="35" xfId="0" applyNumberFormat="1" applyFont="1" applyFill="1" applyBorder="1" applyAlignment="1" applyProtection="1">
      <alignment horizontal="center" vertical="center"/>
      <protection locked="0"/>
    </xf>
    <xf numFmtId="166" fontId="15" fillId="29" borderId="33" xfId="30" applyNumberFormat="1" applyFont="1" applyFill="1" applyBorder="1" applyAlignment="1" applyProtection="1">
      <alignment vertical="center"/>
      <protection locked="0"/>
    </xf>
    <xf numFmtId="166" fontId="15" fillId="29" borderId="32" xfId="30" applyNumberFormat="1" applyFont="1" applyFill="1" applyBorder="1" applyAlignment="1" applyProtection="1">
      <alignment vertical="center"/>
      <protection locked="0"/>
    </xf>
    <xf numFmtId="166" fontId="15" fillId="29" borderId="35" xfId="30" applyNumberFormat="1" applyFont="1" applyFill="1" applyBorder="1" applyAlignment="1" applyProtection="1">
      <alignment vertical="center"/>
      <protection locked="0"/>
    </xf>
    <xf numFmtId="0" fontId="63" fillId="0" borderId="0" xfId="50" applyFont="1"/>
    <xf numFmtId="0" fontId="61" fillId="0" borderId="0" xfId="50" applyFont="1"/>
    <xf numFmtId="9" fontId="61" fillId="0" borderId="0" xfId="50" applyNumberFormat="1" applyFont="1" applyAlignment="1">
      <alignment horizontal="left"/>
    </xf>
    <xf numFmtId="0" fontId="65" fillId="0" borderId="0" xfId="59" applyFont="1"/>
    <xf numFmtId="0" fontId="65" fillId="0" borderId="0" xfId="59" applyFont="1" applyAlignment="1">
      <alignment horizontal="left"/>
    </xf>
    <xf numFmtId="6" fontId="65" fillId="0" borderId="0" xfId="28" applyNumberFormat="1" applyFont="1" applyFill="1" applyBorder="1" applyAlignment="1">
      <alignment horizontal="left"/>
    </xf>
    <xf numFmtId="10" fontId="56" fillId="29" borderId="68" xfId="66" applyNumberFormat="1" applyFont="1" applyFill="1" applyBorder="1" applyProtection="1">
      <protection locked="0"/>
    </xf>
    <xf numFmtId="10" fontId="56" fillId="29" borderId="74" xfId="66" applyNumberFormat="1" applyFont="1" applyFill="1" applyBorder="1" applyProtection="1">
      <protection locked="0"/>
    </xf>
    <xf numFmtId="0" fontId="0" fillId="0" borderId="0" xfId="0" applyAlignment="1">
      <alignment horizontal="center"/>
    </xf>
    <xf numFmtId="166" fontId="66" fillId="29" borderId="140" xfId="42" applyNumberFormat="1" applyFont="1" applyFill="1" applyBorder="1" applyAlignment="1" applyProtection="1">
      <alignment horizontal="right" vertical="center"/>
      <protection locked="0"/>
    </xf>
    <xf numFmtId="166" fontId="66" fillId="29" borderId="134" xfId="42" applyNumberFormat="1" applyFont="1" applyFill="1" applyBorder="1" applyAlignment="1" applyProtection="1">
      <alignment horizontal="right" vertical="center"/>
      <protection locked="0"/>
    </xf>
    <xf numFmtId="166" fontId="66" fillId="29" borderId="131" xfId="42" applyNumberFormat="1" applyFont="1" applyFill="1" applyBorder="1" applyAlignment="1" applyProtection="1">
      <alignment horizontal="right" vertical="center"/>
      <protection locked="0"/>
    </xf>
    <xf numFmtId="42" fontId="66" fillId="29" borderId="131" xfId="42" applyNumberFormat="1" applyFont="1" applyFill="1" applyBorder="1" applyAlignment="1" applyProtection="1">
      <alignment vertical="center"/>
      <protection locked="0"/>
    </xf>
    <xf numFmtId="42" fontId="66" fillId="29" borderId="134" xfId="42" applyNumberFormat="1" applyFont="1" applyFill="1" applyBorder="1" applyAlignment="1" applyProtection="1">
      <alignment vertical="center"/>
      <protection locked="0"/>
    </xf>
    <xf numFmtId="166" fontId="66" fillId="29" borderId="77" xfId="42" applyNumberFormat="1" applyFont="1" applyFill="1" applyBorder="1" applyAlignment="1" applyProtection="1">
      <alignment horizontal="right" vertical="center"/>
      <protection locked="0"/>
    </xf>
    <xf numFmtId="166" fontId="66" fillId="29" borderId="88" xfId="42" applyNumberFormat="1" applyFont="1" applyFill="1" applyBorder="1" applyAlignment="1" applyProtection="1">
      <alignment horizontal="right" vertical="center"/>
      <protection locked="0"/>
    </xf>
    <xf numFmtId="166" fontId="66" fillId="29" borderId="89" xfId="42" applyNumberFormat="1" applyFont="1" applyFill="1" applyBorder="1" applyAlignment="1" applyProtection="1">
      <alignment horizontal="right" vertical="center"/>
      <protection locked="0"/>
    </xf>
    <xf numFmtId="166" fontId="66" fillId="29" borderId="132" xfId="42" applyNumberFormat="1" applyFont="1" applyFill="1" applyBorder="1" applyAlignment="1" applyProtection="1">
      <alignment horizontal="right" vertical="center"/>
      <protection locked="0"/>
    </xf>
    <xf numFmtId="166" fontId="66" fillId="29" borderId="133" xfId="42" applyNumberFormat="1" applyFont="1" applyFill="1" applyBorder="1" applyAlignment="1" applyProtection="1">
      <alignment horizontal="right" vertical="center"/>
      <protection locked="0"/>
    </xf>
    <xf numFmtId="166" fontId="66" fillId="29" borderId="78" xfId="42" applyNumberFormat="1" applyFont="1" applyFill="1" applyBorder="1" applyAlignment="1" applyProtection="1">
      <alignment horizontal="right" vertical="center"/>
      <protection locked="0"/>
    </xf>
    <xf numFmtId="166" fontId="66" fillId="29" borderId="79" xfId="42" applyNumberFormat="1" applyFont="1" applyFill="1" applyBorder="1" applyAlignment="1" applyProtection="1">
      <alignment horizontal="right" vertical="center"/>
      <protection locked="0"/>
    </xf>
    <xf numFmtId="166" fontId="66" fillId="29" borderId="80" xfId="42" applyNumberFormat="1" applyFont="1" applyFill="1" applyBorder="1" applyAlignment="1" applyProtection="1">
      <alignment horizontal="right" vertical="center"/>
      <protection locked="0"/>
    </xf>
    <xf numFmtId="166" fontId="66" fillId="29" borderId="95" xfId="42" applyNumberFormat="1" applyFont="1" applyFill="1" applyBorder="1" applyAlignment="1" applyProtection="1">
      <alignment horizontal="right" vertical="center"/>
      <protection locked="0"/>
    </xf>
    <xf numFmtId="166" fontId="66" fillId="29" borderId="93" xfId="42" applyNumberFormat="1" applyFont="1" applyFill="1" applyBorder="1" applyAlignment="1" applyProtection="1">
      <alignment horizontal="right" vertical="center"/>
      <protection locked="0"/>
    </xf>
    <xf numFmtId="166" fontId="5" fillId="29" borderId="77" xfId="44" applyNumberFormat="1" applyFont="1" applyFill="1" applyBorder="1" applyAlignment="1" applyProtection="1">
      <alignment horizontal="right" vertical="center"/>
      <protection locked="0"/>
    </xf>
    <xf numFmtId="166" fontId="5" fillId="29" borderId="88" xfId="44" applyNumberFormat="1" applyFont="1" applyFill="1" applyBorder="1" applyAlignment="1" applyProtection="1">
      <alignment horizontal="right" vertical="center"/>
      <protection locked="0"/>
    </xf>
    <xf numFmtId="166" fontId="5" fillId="29" borderId="89" xfId="44" applyNumberFormat="1" applyFont="1" applyFill="1" applyBorder="1" applyAlignment="1" applyProtection="1">
      <alignment horizontal="right" vertical="center"/>
      <protection locked="0"/>
    </xf>
    <xf numFmtId="166" fontId="5" fillId="29" borderId="131" xfId="44" applyNumberFormat="1" applyFont="1" applyFill="1" applyBorder="1" applyAlignment="1" applyProtection="1">
      <alignment horizontal="right" vertical="center"/>
      <protection locked="0"/>
    </xf>
    <xf numFmtId="166" fontId="5" fillId="29" borderId="132" xfId="44" applyNumberFormat="1" applyFont="1" applyFill="1" applyBorder="1" applyAlignment="1" applyProtection="1">
      <alignment horizontal="right" vertical="center"/>
      <protection locked="0"/>
    </xf>
    <xf numFmtId="166" fontId="5" fillId="29" borderId="133" xfId="44" applyNumberFormat="1" applyFont="1" applyFill="1" applyBorder="1" applyAlignment="1" applyProtection="1">
      <alignment horizontal="right" vertical="center"/>
      <protection locked="0"/>
    </xf>
    <xf numFmtId="166" fontId="5" fillId="29" borderId="90" xfId="44" applyNumberFormat="1" applyFont="1" applyFill="1" applyBorder="1" applyAlignment="1" applyProtection="1">
      <alignment horizontal="right" vertical="center"/>
      <protection locked="0"/>
    </xf>
    <xf numFmtId="166" fontId="5" fillId="29" borderId="91" xfId="44" applyNumberFormat="1" applyFont="1" applyFill="1" applyBorder="1" applyAlignment="1" applyProtection="1">
      <alignment horizontal="right" vertical="center"/>
      <protection locked="0"/>
    </xf>
    <xf numFmtId="166" fontId="5" fillId="29" borderId="92" xfId="44" applyNumberFormat="1" applyFont="1" applyFill="1" applyBorder="1" applyAlignment="1" applyProtection="1">
      <alignment horizontal="right" vertical="center"/>
      <protection locked="0"/>
    </xf>
    <xf numFmtId="166" fontId="5" fillId="29" borderId="78" xfId="44" applyNumberFormat="1" applyFont="1" applyFill="1" applyBorder="1" applyAlignment="1" applyProtection="1">
      <alignment horizontal="right" vertical="center"/>
      <protection locked="0"/>
    </xf>
    <xf numFmtId="166" fontId="5" fillId="29" borderId="79" xfId="44" applyNumberFormat="1" applyFont="1" applyFill="1" applyBorder="1" applyAlignment="1" applyProtection="1">
      <alignment horizontal="right" vertical="center"/>
      <protection locked="0"/>
    </xf>
    <xf numFmtId="166" fontId="5" fillId="29" borderId="80" xfId="44" applyNumberFormat="1" applyFont="1" applyFill="1" applyBorder="1" applyAlignment="1" applyProtection="1">
      <alignment horizontal="right" vertical="center"/>
      <protection locked="0"/>
    </xf>
    <xf numFmtId="166" fontId="5" fillId="29" borderId="95" xfId="44" applyNumberFormat="1" applyFont="1" applyFill="1" applyBorder="1" applyAlignment="1" applyProtection="1">
      <alignment horizontal="right" vertical="center"/>
      <protection locked="0"/>
    </xf>
    <xf numFmtId="166" fontId="5" fillId="29" borderId="140" xfId="44" applyNumberFormat="1" applyFont="1" applyFill="1" applyBorder="1" applyAlignment="1" applyProtection="1">
      <alignment horizontal="right" vertical="center"/>
      <protection locked="0"/>
    </xf>
    <xf numFmtId="166" fontId="5" fillId="29" borderId="96" xfId="44" applyNumberFormat="1" applyFont="1" applyFill="1" applyBorder="1" applyAlignment="1" applyProtection="1">
      <alignment horizontal="right" vertical="center"/>
      <protection locked="0"/>
    </xf>
    <xf numFmtId="166" fontId="5" fillId="29" borderId="93" xfId="44" applyNumberFormat="1" applyFont="1" applyFill="1" applyBorder="1" applyAlignment="1" applyProtection="1">
      <alignment horizontal="right" vertical="center"/>
      <protection locked="0"/>
    </xf>
    <xf numFmtId="0" fontId="15" fillId="0" borderId="0" xfId="50" applyFont="1"/>
    <xf numFmtId="0" fontId="15" fillId="0" borderId="0" xfId="0" applyFont="1"/>
    <xf numFmtId="1" fontId="0" fillId="0" borderId="0" xfId="0" applyNumberFormat="1"/>
    <xf numFmtId="9" fontId="0" fillId="0" borderId="0" xfId="0" applyNumberFormat="1"/>
    <xf numFmtId="44" fontId="0" fillId="0" borderId="0" xfId="0" applyNumberFormat="1"/>
    <xf numFmtId="167" fontId="0" fillId="0" borderId="0" xfId="0" applyNumberFormat="1"/>
    <xf numFmtId="42" fontId="0" fillId="0" borderId="0" xfId="0" applyNumberFormat="1"/>
    <xf numFmtId="0" fontId="0" fillId="29" borderId="12" xfId="0" applyFill="1" applyBorder="1" applyProtection="1">
      <protection locked="0"/>
    </xf>
    <xf numFmtId="0" fontId="0" fillId="29" borderId="12" xfId="0" applyFill="1" applyBorder="1" applyAlignment="1" applyProtection="1">
      <alignment horizontal="center"/>
      <protection locked="0"/>
    </xf>
    <xf numFmtId="1" fontId="1" fillId="29" borderId="10" xfId="59" applyNumberFormat="1" applyFill="1" applyBorder="1" applyProtection="1">
      <protection locked="0"/>
    </xf>
    <xf numFmtId="42" fontId="28" fillId="28" borderId="0" xfId="65" applyNumberFormat="1" applyFont="1" applyFill="1" applyBorder="1" applyAlignment="1" applyProtection="1">
      <alignment horizontal="right"/>
    </xf>
    <xf numFmtId="165" fontId="28" fillId="28" borderId="0" xfId="65" applyNumberFormat="1" applyFont="1" applyFill="1" applyBorder="1" applyAlignment="1" applyProtection="1">
      <alignment horizontal="right"/>
    </xf>
    <xf numFmtId="1" fontId="1" fillId="29" borderId="128" xfId="59" applyNumberFormat="1" applyFill="1" applyBorder="1" applyAlignment="1" applyProtection="1">
      <alignment horizontal="right"/>
      <protection locked="0"/>
    </xf>
    <xf numFmtId="1" fontId="15" fillId="29" borderId="128" xfId="59" applyNumberFormat="1" applyFont="1" applyFill="1" applyBorder="1" applyAlignment="1" applyProtection="1">
      <alignment horizontal="right"/>
      <protection locked="0"/>
    </xf>
    <xf numFmtId="9" fontId="1" fillId="29" borderId="60" xfId="65" applyFont="1" applyFill="1" applyBorder="1" applyAlignment="1" applyProtection="1">
      <alignment horizontal="center"/>
      <protection locked="0"/>
    </xf>
    <xf numFmtId="9" fontId="1" fillId="29" borderId="203" xfId="65" applyFont="1" applyFill="1" applyBorder="1" applyAlignment="1" applyProtection="1">
      <alignment horizontal="center"/>
      <protection locked="0"/>
    </xf>
    <xf numFmtId="9" fontId="15" fillId="29" borderId="203" xfId="59" applyNumberFormat="1" applyFont="1" applyFill="1" applyBorder="1" applyAlignment="1" applyProtection="1">
      <alignment horizontal="center"/>
      <protection locked="0"/>
    </xf>
    <xf numFmtId="1" fontId="1" fillId="29" borderId="111" xfId="59" applyNumberFormat="1" applyFill="1" applyBorder="1" applyProtection="1">
      <protection locked="0"/>
    </xf>
    <xf numFmtId="1" fontId="1" fillId="29" borderId="205" xfId="59" applyNumberFormat="1" applyFill="1" applyBorder="1" applyAlignment="1" applyProtection="1">
      <alignment horizontal="right"/>
      <protection locked="0"/>
    </xf>
    <xf numFmtId="9" fontId="1" fillId="35" borderId="68" xfId="65" applyFont="1" applyFill="1" applyBorder="1" applyAlignment="1" applyProtection="1">
      <alignment horizontal="right"/>
    </xf>
    <xf numFmtId="44" fontId="1" fillId="25" borderId="68" xfId="59" applyNumberFormat="1" applyFill="1" applyBorder="1" applyAlignment="1" applyProtection="1">
      <alignment horizontal="left"/>
      <protection locked="0"/>
    </xf>
    <xf numFmtId="37" fontId="28" fillId="25" borderId="206" xfId="72" applyNumberFormat="1" applyFont="1" applyFill="1" applyBorder="1" applyAlignment="1" applyProtection="1">
      <alignment horizontal="right"/>
      <protection locked="0"/>
    </xf>
    <xf numFmtId="44" fontId="28" fillId="35" borderId="68" xfId="65" applyNumberFormat="1" applyFont="1" applyFill="1" applyBorder="1" applyAlignment="1" applyProtection="1">
      <alignment horizontal="right"/>
    </xf>
    <xf numFmtId="0" fontId="61" fillId="0" borderId="0" xfId="51" applyFont="1"/>
    <xf numFmtId="0" fontId="0" fillId="0" borderId="0" xfId="0" applyProtection="1">
      <protection locked="0"/>
    </xf>
    <xf numFmtId="0" fontId="54" fillId="0" borderId="0" xfId="0" applyFont="1" applyProtection="1">
      <protection locked="0"/>
    </xf>
    <xf numFmtId="0" fontId="55" fillId="0" borderId="0" xfId="0" applyFont="1" applyProtection="1">
      <protection locked="0"/>
    </xf>
    <xf numFmtId="0" fontId="0" fillId="28" borderId="0" xfId="0" applyFill="1" applyProtection="1">
      <protection locked="0"/>
    </xf>
    <xf numFmtId="0" fontId="1" fillId="28" borderId="0" xfId="59" applyFill="1"/>
    <xf numFmtId="0" fontId="1" fillId="28" borderId="0" xfId="59" applyFill="1" applyAlignment="1">
      <alignment horizontal="left"/>
    </xf>
    <xf numFmtId="0" fontId="1" fillId="28" borderId="10" xfId="59" applyFill="1" applyBorder="1" applyAlignment="1" applyProtection="1">
      <alignment horizontal="center"/>
      <protection locked="0"/>
    </xf>
    <xf numFmtId="0" fontId="1" fillId="28" borderId="111" xfId="59" applyFill="1" applyBorder="1" applyAlignment="1" applyProtection="1">
      <alignment horizontal="center"/>
      <protection locked="0"/>
    </xf>
    <xf numFmtId="0" fontId="1" fillId="24" borderId="0" xfId="59" applyFill="1"/>
    <xf numFmtId="0" fontId="2" fillId="24" borderId="0" xfId="59" applyFont="1" applyFill="1" applyAlignment="1">
      <alignment horizontal="center"/>
    </xf>
    <xf numFmtId="0" fontId="1" fillId="0" borderId="0" xfId="59" applyAlignment="1">
      <alignment vertical="center" wrapText="1"/>
    </xf>
    <xf numFmtId="0" fontId="1" fillId="0" borderId="65" xfId="59" applyBorder="1" applyAlignment="1">
      <alignment vertical="center" wrapText="1"/>
    </xf>
    <xf numFmtId="0" fontId="28" fillId="0" borderId="0" xfId="59" applyFont="1" applyAlignment="1">
      <alignment horizontal="center" vertical="center"/>
    </xf>
    <xf numFmtId="0" fontId="19" fillId="0" borderId="0" xfId="59" applyFont="1" applyAlignment="1">
      <alignment horizontal="center" vertical="center"/>
    </xf>
    <xf numFmtId="0" fontId="1" fillId="0" borderId="0" xfId="59"/>
    <xf numFmtId="0" fontId="78" fillId="0" borderId="0" xfId="59" applyFont="1" applyAlignment="1">
      <alignment horizontal="center" vertical="center"/>
    </xf>
    <xf numFmtId="0" fontId="7" fillId="24" borderId="0" xfId="59" applyFont="1" applyFill="1"/>
    <xf numFmtId="0" fontId="7" fillId="24" borderId="10" xfId="59" applyFont="1" applyFill="1" applyBorder="1"/>
    <xf numFmtId="0" fontId="1" fillId="24" borderId="10" xfId="59" applyFill="1" applyBorder="1"/>
    <xf numFmtId="0" fontId="16" fillId="28" borderId="10" xfId="59" applyFont="1" applyFill="1" applyBorder="1" applyAlignment="1">
      <alignment horizontal="center"/>
    </xf>
    <xf numFmtId="0" fontId="16" fillId="35" borderId="68" xfId="59" applyFont="1" applyFill="1" applyBorder="1"/>
    <xf numFmtId="0" fontId="7" fillId="28" borderId="0" xfId="59" applyFont="1" applyFill="1"/>
    <xf numFmtId="0" fontId="18" fillId="24" borderId="0" xfId="59" applyFont="1" applyFill="1"/>
    <xf numFmtId="1" fontId="2" fillId="0" borderId="0" xfId="59" applyNumberFormat="1" applyFont="1"/>
    <xf numFmtId="0" fontId="1" fillId="24" borderId="0" xfId="59" applyFill="1" applyAlignment="1">
      <alignment horizontal="left"/>
    </xf>
    <xf numFmtId="0" fontId="1" fillId="24" borderId="207" xfId="59" applyFill="1" applyBorder="1"/>
    <xf numFmtId="0" fontId="77" fillId="24" borderId="0" xfId="59" applyFont="1" applyFill="1"/>
    <xf numFmtId="0" fontId="16" fillId="28" borderId="0" xfId="59" applyFont="1" applyFill="1"/>
    <xf numFmtId="0" fontId="50" fillId="28" borderId="67" xfId="59" applyFont="1" applyFill="1" applyBorder="1"/>
    <xf numFmtId="0" fontId="1" fillId="24" borderId="65" xfId="59" applyFill="1" applyBorder="1"/>
    <xf numFmtId="0" fontId="1" fillId="24" borderId="66" xfId="59" applyFill="1" applyBorder="1"/>
    <xf numFmtId="0" fontId="7" fillId="24" borderId="58" xfId="59" applyFont="1" applyFill="1" applyBorder="1" applyAlignment="1">
      <alignment horizontal="center" wrapText="1"/>
    </xf>
    <xf numFmtId="0" fontId="7" fillId="24" borderId="0" xfId="59" applyFont="1" applyFill="1" applyAlignment="1">
      <alignment wrapText="1"/>
    </xf>
    <xf numFmtId="0" fontId="7" fillId="24" borderId="0" xfId="59" applyFont="1" applyFill="1" applyAlignment="1">
      <alignment horizontal="center" wrapText="1"/>
    </xf>
    <xf numFmtId="0" fontId="1" fillId="24" borderId="59" xfId="59" applyFill="1" applyBorder="1"/>
    <xf numFmtId="0" fontId="1" fillId="28" borderId="10" xfId="59" applyFill="1" applyBorder="1" applyAlignment="1">
      <alignment horizontal="center"/>
    </xf>
    <xf numFmtId="0" fontId="1" fillId="24" borderId="10" xfId="59" applyFill="1" applyBorder="1" applyAlignment="1">
      <alignment horizontal="center"/>
    </xf>
    <xf numFmtId="0" fontId="1" fillId="28" borderId="111" xfId="59" applyFill="1" applyBorder="1" applyAlignment="1">
      <alignment horizontal="center"/>
    </xf>
    <xf numFmtId="0" fontId="1" fillId="24" borderId="111" xfId="59" applyFill="1" applyBorder="1" applyAlignment="1">
      <alignment horizontal="center"/>
    </xf>
    <xf numFmtId="9" fontId="15" fillId="28" borderId="111" xfId="59" applyNumberFormat="1" applyFont="1" applyFill="1" applyBorder="1" applyAlignment="1">
      <alignment horizontal="center"/>
    </xf>
    <xf numFmtId="0" fontId="1" fillId="24" borderId="60" xfId="59" applyFill="1" applyBorder="1"/>
    <xf numFmtId="1" fontId="2" fillId="35" borderId="10" xfId="59" applyNumberFormat="1" applyFont="1" applyFill="1" applyBorder="1"/>
    <xf numFmtId="0" fontId="1" fillId="24" borderId="61" xfId="59" applyFill="1" applyBorder="1"/>
    <xf numFmtId="0" fontId="7" fillId="28" borderId="0" xfId="59" applyFont="1" applyFill="1" applyAlignment="1">
      <alignment horizontal="center"/>
    </xf>
    <xf numFmtId="0" fontId="1" fillId="24" borderId="0" xfId="59" quotePrefix="1" applyFill="1" applyAlignment="1">
      <alignment horizontal="center"/>
    </xf>
    <xf numFmtId="0" fontId="1" fillId="24" borderId="0" xfId="59" applyFill="1" applyAlignment="1">
      <alignment horizontal="center"/>
    </xf>
    <xf numFmtId="0" fontId="7" fillId="24" borderId="0" xfId="59" applyFont="1" applyFill="1" applyAlignment="1">
      <alignment vertical="top"/>
    </xf>
    <xf numFmtId="0" fontId="7" fillId="24" borderId="0" xfId="59" applyFont="1" applyFill="1" applyAlignment="1">
      <alignment vertical="top" wrapText="1"/>
    </xf>
    <xf numFmtId="0" fontId="15" fillId="24" borderId="0" xfId="59" applyFont="1" applyFill="1"/>
    <xf numFmtId="0" fontId="15" fillId="28" borderId="0" xfId="59" applyFont="1" applyFill="1" applyAlignment="1">
      <alignment horizontal="left"/>
    </xf>
    <xf numFmtId="1" fontId="1" fillId="0" borderId="0" xfId="59" applyNumberFormat="1" applyAlignment="1">
      <alignment horizontal="right"/>
    </xf>
    <xf numFmtId="0" fontId="28" fillId="24" borderId="0" xfId="59" applyFont="1" applyFill="1"/>
    <xf numFmtId="1" fontId="1" fillId="28" borderId="0" xfId="59" applyNumberFormat="1" applyFill="1" applyAlignment="1">
      <alignment horizontal="right"/>
    </xf>
    <xf numFmtId="0" fontId="1" fillId="24" borderId="0" xfId="59" applyFill="1" applyAlignment="1">
      <alignment vertical="top"/>
    </xf>
    <xf numFmtId="0" fontId="0" fillId="28" borderId="0" xfId="0" applyFill="1"/>
    <xf numFmtId="44" fontId="1" fillId="35" borderId="68" xfId="59" applyNumberFormat="1" applyFill="1" applyBorder="1" applyAlignment="1">
      <alignment horizontal="right"/>
    </xf>
    <xf numFmtId="10" fontId="1" fillId="35" borderId="68" xfId="59" applyNumberFormat="1" applyFill="1" applyBorder="1" applyAlignment="1">
      <alignment horizontal="right"/>
    </xf>
    <xf numFmtId="0" fontId="2" fillId="24" borderId="0" xfId="59" applyFont="1" applyFill="1"/>
    <xf numFmtId="0" fontId="7" fillId="24" borderId="0" xfId="59" applyFont="1" applyFill="1" applyAlignment="1">
      <alignment horizontal="left" vertical="top"/>
    </xf>
    <xf numFmtId="44" fontId="28" fillId="28" borderId="0" xfId="59" applyNumberFormat="1" applyFont="1" applyFill="1" applyAlignment="1">
      <alignment horizontal="left"/>
    </xf>
    <xf numFmtId="44" fontId="1" fillId="35" borderId="68" xfId="59" applyNumberFormat="1" applyFill="1" applyBorder="1" applyAlignment="1">
      <alignment horizontal="left"/>
    </xf>
    <xf numFmtId="44" fontId="28" fillId="28" borderId="59" xfId="59" applyNumberFormat="1" applyFont="1" applyFill="1" applyBorder="1" applyAlignment="1">
      <alignment horizontal="left"/>
    </xf>
    <xf numFmtId="166" fontId="1" fillId="28" borderId="0" xfId="59" applyNumberFormat="1" applyFill="1" applyAlignment="1">
      <alignment horizontal="left"/>
    </xf>
    <xf numFmtId="44" fontId="1" fillId="28" borderId="0" xfId="59" applyNumberFormat="1" applyFill="1" applyAlignment="1">
      <alignment horizontal="left"/>
    </xf>
    <xf numFmtId="0" fontId="1" fillId="28" borderId="0" xfId="59" applyFill="1" applyAlignment="1">
      <alignment wrapText="1"/>
    </xf>
    <xf numFmtId="0" fontId="16" fillId="28" borderId="0" xfId="59" applyFont="1" applyFill="1" applyAlignment="1">
      <alignment horizontal="center"/>
    </xf>
    <xf numFmtId="0" fontId="77" fillId="28" borderId="0" xfId="59" applyFont="1" applyFill="1" applyAlignment="1">
      <alignment horizontal="left"/>
    </xf>
    <xf numFmtId="0" fontId="76" fillId="24" borderId="0" xfId="59" applyFont="1" applyFill="1" applyAlignment="1">
      <alignment horizontal="left" vertical="top" wrapText="1"/>
    </xf>
    <xf numFmtId="42" fontId="28" fillId="35" borderId="68" xfId="59" applyNumberFormat="1" applyFont="1" applyFill="1" applyBorder="1" applyAlignment="1">
      <alignment horizontal="right"/>
    </xf>
    <xf numFmtId="10" fontId="28" fillId="35" borderId="68" xfId="59" applyNumberFormat="1" applyFont="1" applyFill="1" applyBorder="1" applyAlignment="1">
      <alignment horizontal="right"/>
    </xf>
    <xf numFmtId="0" fontId="1" fillId="24" borderId="11" xfId="59" applyFill="1" applyBorder="1"/>
    <xf numFmtId="0" fontId="12" fillId="24" borderId="11" xfId="59" applyFont="1" applyFill="1" applyBorder="1" applyAlignment="1">
      <alignment vertical="center"/>
    </xf>
    <xf numFmtId="0" fontId="12" fillId="24" borderId="11" xfId="59" applyFont="1" applyFill="1" applyBorder="1"/>
    <xf numFmtId="0" fontId="1" fillId="35" borderId="11" xfId="59" applyFill="1" applyBorder="1"/>
    <xf numFmtId="0" fontId="16" fillId="28" borderId="61" xfId="59" applyFont="1" applyFill="1" applyBorder="1" applyAlignment="1">
      <alignment horizontal="center"/>
    </xf>
    <xf numFmtId="0" fontId="1" fillId="24" borderId="58" xfId="59" applyFill="1" applyBorder="1"/>
    <xf numFmtId="0" fontId="7" fillId="28" borderId="65" xfId="59" applyFont="1" applyFill="1" applyBorder="1"/>
    <xf numFmtId="44" fontId="28" fillId="35" borderId="65" xfId="28" applyFont="1" applyFill="1" applyBorder="1" applyAlignment="1" applyProtection="1">
      <alignment horizontal="right"/>
    </xf>
    <xf numFmtId="0" fontId="1" fillId="24" borderId="76" xfId="59" applyFill="1" applyBorder="1"/>
    <xf numFmtId="0" fontId="1" fillId="24" borderId="0" xfId="59" applyFill="1" applyAlignment="1">
      <alignment horizontal="right"/>
    </xf>
    <xf numFmtId="0" fontId="1" fillId="24" borderId="0" xfId="59" applyFill="1" applyAlignment="1">
      <alignment horizontal="center" shrinkToFit="1"/>
    </xf>
    <xf numFmtId="0" fontId="20" fillId="0" borderId="0" xfId="60" applyFont="1" applyAlignment="1" applyProtection="1">
      <alignment horizontal="left" vertical="center"/>
      <protection locked="0"/>
    </xf>
    <xf numFmtId="0" fontId="20" fillId="28" borderId="0" xfId="60" applyFont="1" applyFill="1" applyAlignment="1" applyProtection="1">
      <alignment horizontal="left" vertical="center"/>
      <protection locked="0"/>
    </xf>
    <xf numFmtId="0" fontId="10" fillId="0" borderId="0" xfId="60" applyFont="1" applyAlignment="1" applyProtection="1">
      <alignment horizontal="left" vertical="center"/>
      <protection locked="0"/>
    </xf>
    <xf numFmtId="0" fontId="5" fillId="0" borderId="0" xfId="42" applyFont="1" applyAlignment="1" applyProtection="1">
      <alignment vertical="center"/>
      <protection locked="0"/>
    </xf>
    <xf numFmtId="0" fontId="61" fillId="0" borderId="0" xfId="42" applyFont="1" applyAlignment="1" applyProtection="1">
      <alignment vertical="center"/>
      <protection locked="0"/>
    </xf>
    <xf numFmtId="0" fontId="61" fillId="30" borderId="63" xfId="42" applyFont="1" applyFill="1" applyBorder="1" applyAlignment="1" applyProtection="1">
      <alignment vertical="center"/>
      <protection locked="0"/>
    </xf>
    <xf numFmtId="0" fontId="61" fillId="28" borderId="41" xfId="42" applyFont="1" applyFill="1" applyBorder="1" applyAlignment="1" applyProtection="1">
      <alignment vertical="center"/>
      <protection locked="0"/>
    </xf>
    <xf numFmtId="0" fontId="61" fillId="28" borderId="41" xfId="60" applyFont="1" applyFill="1" applyBorder="1" applyAlignment="1" applyProtection="1">
      <alignment horizontal="left" vertical="center" wrapText="1"/>
      <protection locked="0"/>
    </xf>
    <xf numFmtId="0" fontId="62" fillId="0" borderId="0" xfId="60" applyFont="1" applyAlignment="1" applyProtection="1">
      <alignment horizontal="left" vertical="center"/>
      <protection locked="0"/>
    </xf>
    <xf numFmtId="0" fontId="63" fillId="0" borderId="0" xfId="60" applyFont="1" applyAlignment="1" applyProtection="1">
      <alignment horizontal="left" vertical="center"/>
      <protection locked="0"/>
    </xf>
    <xf numFmtId="0" fontId="44" fillId="24" borderId="0" xfId="59" applyFont="1" applyFill="1" applyAlignment="1" applyProtection="1">
      <alignment horizontal="center"/>
      <protection locked="0"/>
    </xf>
    <xf numFmtId="0" fontId="59" fillId="24" borderId="0" xfId="0" applyFont="1" applyFill="1" applyAlignment="1" applyProtection="1">
      <alignment vertical="center"/>
      <protection locked="0"/>
    </xf>
    <xf numFmtId="0" fontId="59" fillId="28" borderId="0" xfId="0" applyFont="1" applyFill="1" applyAlignment="1" applyProtection="1">
      <alignment vertical="center"/>
      <protection locked="0"/>
    </xf>
    <xf numFmtId="0" fontId="59" fillId="0" borderId="0" xfId="0" applyFont="1" applyProtection="1">
      <protection locked="0"/>
    </xf>
    <xf numFmtId="0" fontId="16" fillId="26" borderId="29" xfId="0" applyFont="1" applyFill="1" applyBorder="1" applyAlignment="1" applyProtection="1">
      <alignment vertical="center"/>
      <protection locked="0"/>
    </xf>
    <xf numFmtId="0" fontId="16" fillId="26" borderId="30" xfId="0" applyFont="1" applyFill="1" applyBorder="1" applyAlignment="1" applyProtection="1">
      <alignment vertical="center"/>
      <protection locked="0"/>
    </xf>
    <xf numFmtId="0" fontId="59" fillId="28" borderId="0" xfId="0" applyFont="1" applyFill="1" applyProtection="1">
      <protection locked="0"/>
    </xf>
    <xf numFmtId="0" fontId="60" fillId="0" borderId="0" xfId="0" applyFont="1" applyProtection="1">
      <protection locked="0"/>
    </xf>
    <xf numFmtId="0" fontId="43" fillId="0" borderId="0" xfId="38" applyFont="1" applyAlignment="1" applyProtection="1">
      <protection locked="0"/>
    </xf>
    <xf numFmtId="0" fontId="5" fillId="28" borderId="0" xfId="42" applyFont="1" applyFill="1" applyAlignment="1" applyProtection="1">
      <alignment vertical="center"/>
      <protection locked="0"/>
    </xf>
    <xf numFmtId="0" fontId="10" fillId="0" borderId="0" xfId="42" applyFont="1" applyAlignment="1" applyProtection="1">
      <alignment vertical="center"/>
      <protection locked="0"/>
    </xf>
    <xf numFmtId="0" fontId="10" fillId="0" borderId="0" xfId="42" applyFont="1" applyAlignment="1" applyProtection="1">
      <alignment horizontal="center" vertical="center"/>
      <protection locked="0"/>
    </xf>
    <xf numFmtId="0" fontId="45" fillId="0" borderId="0" xfId="42" applyFont="1" applyAlignment="1" applyProtection="1">
      <alignment vertical="center"/>
      <protection locked="0"/>
    </xf>
    <xf numFmtId="0" fontId="46" fillId="0" borderId="0" xfId="42" applyFont="1" applyAlignment="1" applyProtection="1">
      <alignment vertical="center"/>
      <protection locked="0"/>
    </xf>
    <xf numFmtId="0" fontId="20" fillId="0" borderId="0" xfId="42" applyFont="1" applyAlignment="1" applyProtection="1">
      <alignment horizontal="center" vertical="center"/>
      <protection locked="0"/>
    </xf>
    <xf numFmtId="0" fontId="47" fillId="0" borderId="0" xfId="42" applyFont="1" applyAlignment="1" applyProtection="1">
      <alignment vertical="center"/>
      <protection locked="0"/>
    </xf>
    <xf numFmtId="0" fontId="48" fillId="0" borderId="0" xfId="42" applyFont="1" applyAlignment="1" applyProtection="1">
      <alignment vertical="center"/>
      <protection locked="0"/>
    </xf>
    <xf numFmtId="0" fontId="5" fillId="0" borderId="0" xfId="42" applyFont="1" applyAlignment="1" applyProtection="1">
      <alignment horizontal="center" vertical="center"/>
      <protection locked="0"/>
    </xf>
    <xf numFmtId="0" fontId="10" fillId="0" borderId="0" xfId="42" applyFont="1" applyAlignment="1" applyProtection="1">
      <alignment horizontal="right" vertical="center"/>
      <protection locked="0"/>
    </xf>
    <xf numFmtId="0" fontId="49" fillId="0" borderId="0" xfId="42" applyFont="1" applyAlignment="1" applyProtection="1">
      <alignment vertical="center"/>
      <protection locked="0"/>
    </xf>
    <xf numFmtId="0" fontId="62" fillId="30" borderId="62" xfId="60" applyFont="1" applyFill="1" applyBorder="1" applyAlignment="1">
      <alignment horizontal="left" vertical="center"/>
    </xf>
    <xf numFmtId="166" fontId="15" fillId="28" borderId="33" xfId="30" applyNumberFormat="1" applyFont="1" applyFill="1" applyBorder="1" applyAlignment="1" applyProtection="1">
      <alignment vertical="center"/>
    </xf>
    <xf numFmtId="166" fontId="15" fillId="28" borderId="35" xfId="30" applyNumberFormat="1" applyFont="1" applyFill="1" applyBorder="1" applyAlignment="1" applyProtection="1">
      <alignment vertical="center"/>
    </xf>
    <xf numFmtId="166" fontId="15" fillId="28" borderId="34" xfId="30" applyNumberFormat="1" applyFont="1" applyFill="1" applyBorder="1" applyAlignment="1" applyProtection="1">
      <alignment vertical="center"/>
    </xf>
    <xf numFmtId="166" fontId="15" fillId="28" borderId="36" xfId="30" applyNumberFormat="1" applyFont="1" applyFill="1" applyBorder="1" applyAlignment="1" applyProtection="1">
      <alignment vertical="center"/>
    </xf>
    <xf numFmtId="166" fontId="16" fillId="29" borderId="39" xfId="0" applyNumberFormat="1" applyFont="1" applyFill="1" applyBorder="1" applyAlignment="1">
      <alignment horizontal="center" vertical="center" wrapText="1"/>
    </xf>
    <xf numFmtId="166" fontId="16" fillId="29" borderId="40" xfId="0" applyNumberFormat="1" applyFont="1" applyFill="1" applyBorder="1" applyAlignment="1">
      <alignment horizontal="center" vertical="center" wrapText="1"/>
    </xf>
    <xf numFmtId="166" fontId="16" fillId="0" borderId="31" xfId="0" applyNumberFormat="1" applyFont="1" applyBorder="1" applyAlignment="1">
      <alignment horizontal="center" vertical="center" wrapText="1"/>
    </xf>
    <xf numFmtId="0" fontId="59" fillId="0" borderId="0" xfId="0" applyFont="1"/>
    <xf numFmtId="37" fontId="16" fillId="0" borderId="29" xfId="0" applyNumberFormat="1" applyFont="1" applyBorder="1" applyAlignment="1">
      <alignment horizontal="center" vertical="center" wrapText="1"/>
    </xf>
    <xf numFmtId="0" fontId="0" fillId="0" borderId="0" xfId="0" applyAlignment="1" applyProtection="1">
      <alignment wrapText="1"/>
      <protection locked="0"/>
    </xf>
    <xf numFmtId="49" fontId="0" fillId="0" borderId="0" xfId="0" applyNumberFormat="1" applyProtection="1">
      <protection locked="0"/>
    </xf>
    <xf numFmtId="0" fontId="0" fillId="0" borderId="0" xfId="0" applyAlignment="1" applyProtection="1">
      <alignment horizontal="left" wrapText="1"/>
      <protection locked="0"/>
    </xf>
    <xf numFmtId="0" fontId="0" fillId="0" borderId="0" xfId="0" applyAlignment="1" applyProtection="1">
      <alignment vertical="center"/>
      <protection locked="0"/>
    </xf>
    <xf numFmtId="0" fontId="0" fillId="29" borderId="12" xfId="0" applyFill="1" applyBorder="1" applyAlignment="1" applyProtection="1">
      <alignment vertical="center" wrapText="1"/>
      <protection locked="0"/>
    </xf>
    <xf numFmtId="0" fontId="0" fillId="0" borderId="0" xfId="0" applyAlignment="1" applyProtection="1">
      <alignment vertical="center" wrapText="1"/>
      <protection locked="0"/>
    </xf>
    <xf numFmtId="0" fontId="0" fillId="0" borderId="99" xfId="0" applyBorder="1" applyAlignment="1" applyProtection="1">
      <alignment horizontal="left" wrapText="1"/>
      <protection locked="0"/>
    </xf>
    <xf numFmtId="0" fontId="0" fillId="0" borderId="0" xfId="0" applyAlignment="1" applyProtection="1">
      <alignment horizontal="center"/>
      <protection locked="0"/>
    </xf>
    <xf numFmtId="0" fontId="0" fillId="29" borderId="12" xfId="0" applyFill="1" applyBorder="1" applyAlignment="1" applyProtection="1">
      <alignment wrapText="1"/>
      <protection locked="0"/>
    </xf>
    <xf numFmtId="0" fontId="58" fillId="0" borderId="0" xfId="0" applyFont="1" applyAlignment="1" applyProtection="1">
      <alignment vertical="top" wrapText="1"/>
      <protection locked="0"/>
    </xf>
    <xf numFmtId="164" fontId="0" fillId="0" borderId="0" xfId="0" applyNumberFormat="1" applyAlignment="1" applyProtection="1">
      <alignment wrapText="1"/>
      <protection locked="0"/>
    </xf>
    <xf numFmtId="0" fontId="58" fillId="0" borderId="0" xfId="0" applyFont="1" applyAlignment="1" applyProtection="1">
      <alignment wrapText="1"/>
      <protection locked="0"/>
    </xf>
    <xf numFmtId="0" fontId="73" fillId="0" borderId="0" xfId="0" applyFont="1" applyProtection="1">
      <protection locked="0"/>
    </xf>
    <xf numFmtId="0" fontId="0" fillId="0" borderId="208" xfId="0" applyBorder="1" applyProtection="1">
      <protection locked="0"/>
    </xf>
    <xf numFmtId="164" fontId="0" fillId="28" borderId="0" xfId="0" applyNumberFormat="1" applyFill="1" applyAlignment="1" applyProtection="1">
      <alignment wrapText="1"/>
      <protection locked="0"/>
    </xf>
    <xf numFmtId="42" fontId="0" fillId="29" borderId="12" xfId="0" applyNumberFormat="1" applyFill="1" applyBorder="1" applyAlignment="1" applyProtection="1">
      <alignment wrapText="1"/>
      <protection locked="0"/>
    </xf>
    <xf numFmtId="0" fontId="54" fillId="0" borderId="0" xfId="0" quotePrefix="1" applyFont="1" applyProtection="1">
      <protection locked="0"/>
    </xf>
    <xf numFmtId="42" fontId="0" fillId="29" borderId="54" xfId="0" applyNumberFormat="1" applyFill="1" applyBorder="1" applyAlignment="1" applyProtection="1">
      <alignment wrapText="1"/>
      <protection locked="0"/>
    </xf>
    <xf numFmtId="0" fontId="54" fillId="0" borderId="10" xfId="0" quotePrefix="1" applyFont="1" applyBorder="1" applyProtection="1">
      <protection locked="0"/>
    </xf>
    <xf numFmtId="0" fontId="0" fillId="0" borderId="10" xfId="0" applyBorder="1" applyProtection="1">
      <protection locked="0"/>
    </xf>
    <xf numFmtId="0" fontId="54" fillId="0" borderId="10" xfId="0" applyFont="1" applyBorder="1" applyProtection="1">
      <protection locked="0"/>
    </xf>
    <xf numFmtId="42" fontId="0" fillId="29" borderId="19" xfId="0" applyNumberFormat="1" applyFill="1" applyBorder="1" applyAlignment="1" applyProtection="1">
      <alignment wrapText="1"/>
      <protection locked="0"/>
    </xf>
    <xf numFmtId="42" fontId="0" fillId="0" borderId="0" xfId="0" applyNumberFormat="1" applyAlignment="1" applyProtection="1">
      <alignment wrapText="1"/>
      <protection locked="0"/>
    </xf>
    <xf numFmtId="0" fontId="54" fillId="0" borderId="125" xfId="0" applyFont="1" applyBorder="1" applyProtection="1">
      <protection locked="0"/>
    </xf>
    <xf numFmtId="0" fontId="0" fillId="0" borderId="126" xfId="0" applyBorder="1" applyProtection="1">
      <protection locked="0"/>
    </xf>
    <xf numFmtId="0" fontId="54" fillId="0" borderId="0" xfId="0" applyFont="1" applyAlignment="1" applyProtection="1">
      <alignment horizontal="center"/>
      <protection locked="0"/>
    </xf>
    <xf numFmtId="0" fontId="54" fillId="0" borderId="41" xfId="0" applyFont="1" applyBorder="1" applyProtection="1">
      <protection locked="0"/>
    </xf>
    <xf numFmtId="0" fontId="0" fillId="0" borderId="41" xfId="0" applyBorder="1" applyProtection="1">
      <protection locked="0"/>
    </xf>
    <xf numFmtId="0" fontId="0" fillId="0" borderId="0" xfId="0" applyAlignment="1" applyProtection="1">
      <alignment horizontal="left" vertical="top"/>
      <protection locked="0"/>
    </xf>
    <xf numFmtId="0" fontId="54" fillId="0" borderId="0" xfId="0" applyFont="1" applyAlignment="1" applyProtection="1">
      <alignment horizontal="left" vertical="top" wrapText="1"/>
      <protection locked="0"/>
    </xf>
    <xf numFmtId="0" fontId="0" fillId="0" borderId="43" xfId="0" applyBorder="1" applyProtection="1">
      <protection locked="0"/>
    </xf>
    <xf numFmtId="0" fontId="0" fillId="0" borderId="44" xfId="0" applyBorder="1" applyProtection="1">
      <protection locked="0"/>
    </xf>
    <xf numFmtId="0" fontId="54" fillId="0" borderId="44" xfId="0" applyFont="1" applyBorder="1" applyAlignment="1" applyProtection="1">
      <alignment horizontal="left" vertical="top" wrapText="1"/>
      <protection locked="0"/>
    </xf>
    <xf numFmtId="0" fontId="54" fillId="0" borderId="0" xfId="0" applyFont="1" applyAlignment="1" applyProtection="1">
      <alignment horizontal="lef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0" fontId="0" fillId="0" borderId="0" xfId="0" applyAlignment="1" applyProtection="1">
      <alignment horizontal="left" indent="1"/>
      <protection locked="0"/>
    </xf>
    <xf numFmtId="0" fontId="0" fillId="30" borderId="58" xfId="0" applyFill="1" applyBorder="1" applyAlignment="1">
      <alignment wrapText="1"/>
    </xf>
    <xf numFmtId="0" fontId="0" fillId="30" borderId="0" xfId="0" applyFill="1" applyAlignment="1">
      <alignment wrapText="1"/>
    </xf>
    <xf numFmtId="0" fontId="0" fillId="30" borderId="59" xfId="0" applyFill="1" applyBorder="1" applyAlignment="1">
      <alignment wrapText="1"/>
    </xf>
    <xf numFmtId="49" fontId="0" fillId="30" borderId="58" xfId="0" applyNumberFormat="1" applyFill="1" applyBorder="1"/>
    <xf numFmtId="49" fontId="0" fillId="30" borderId="58" xfId="0" quotePrefix="1" applyNumberFormat="1" applyFill="1" applyBorder="1" applyAlignment="1">
      <alignment vertical="top"/>
    </xf>
    <xf numFmtId="0" fontId="0" fillId="30" borderId="58" xfId="0" quotePrefix="1" applyFill="1" applyBorder="1" applyAlignment="1">
      <alignment horizontal="left" vertical="top"/>
    </xf>
    <xf numFmtId="0" fontId="0" fillId="30" borderId="60" xfId="0" quotePrefix="1" applyFill="1" applyBorder="1" applyAlignment="1">
      <alignment horizontal="left" vertical="top"/>
    </xf>
    <xf numFmtId="0" fontId="0" fillId="30" borderId="10" xfId="0" applyFill="1" applyBorder="1" applyAlignment="1">
      <alignment horizontal="left" vertical="top" wrapText="1"/>
    </xf>
    <xf numFmtId="0" fontId="0" fillId="30" borderId="61" xfId="0" applyFill="1" applyBorder="1" applyAlignment="1">
      <alignment horizontal="left" vertical="top" wrapText="1"/>
    </xf>
    <xf numFmtId="42" fontId="0" fillId="0" borderId="12" xfId="0" applyNumberFormat="1" applyBorder="1" applyAlignment="1">
      <alignment wrapText="1"/>
    </xf>
    <xf numFmtId="42" fontId="0" fillId="0" borderId="54" xfId="0" applyNumberFormat="1" applyBorder="1" applyAlignment="1">
      <alignment wrapText="1"/>
    </xf>
    <xf numFmtId="42" fontId="0" fillId="28" borderId="209" xfId="0" applyNumberFormat="1" applyFill="1" applyBorder="1" applyAlignment="1">
      <alignment wrapText="1"/>
    </xf>
    <xf numFmtId="166" fontId="0" fillId="0" borderId="75" xfId="0" applyNumberFormat="1" applyBorder="1"/>
    <xf numFmtId="42" fontId="0" fillId="0" borderId="0" xfId="0" applyNumberFormat="1" applyAlignment="1">
      <alignment wrapText="1"/>
    </xf>
    <xf numFmtId="0" fontId="54" fillId="0" borderId="127" xfId="0" applyFont="1" applyBorder="1" applyAlignment="1">
      <alignment horizontal="center"/>
    </xf>
    <xf numFmtId="0" fontId="0" fillId="0" borderId="0" xfId="0" applyAlignment="1" applyProtection="1">
      <alignment horizontal="left"/>
      <protection locked="0"/>
    </xf>
    <xf numFmtId="42" fontId="0" fillId="29" borderId="13" xfId="0" applyNumberFormat="1" applyFill="1" applyBorder="1" applyAlignment="1" applyProtection="1">
      <alignment wrapText="1"/>
      <protection locked="0"/>
    </xf>
    <xf numFmtId="0" fontId="0" fillId="0" borderId="42" xfId="0" applyBorder="1" applyProtection="1">
      <protection locked="0"/>
    </xf>
    <xf numFmtId="0" fontId="0" fillId="0" borderId="63" xfId="0" applyBorder="1" applyProtection="1">
      <protection locked="0"/>
    </xf>
    <xf numFmtId="0" fontId="0" fillId="0" borderId="72" xfId="0" applyBorder="1" applyProtection="1">
      <protection locked="0"/>
    </xf>
    <xf numFmtId="0" fontId="56" fillId="28" borderId="0" xfId="42" applyFont="1" applyFill="1"/>
    <xf numFmtId="0" fontId="66" fillId="28" borderId="0" xfId="42" applyFont="1" applyFill="1" applyAlignment="1">
      <alignment vertical="center"/>
    </xf>
    <xf numFmtId="0" fontId="67" fillId="28" borderId="0" xfId="42" applyFont="1" applyFill="1" applyAlignment="1">
      <alignment horizontal="left" vertical="center"/>
    </xf>
    <xf numFmtId="0" fontId="67" fillId="28" borderId="0" xfId="42" applyFont="1" applyFill="1" applyAlignment="1">
      <alignment horizontal="right" vertical="center"/>
    </xf>
    <xf numFmtId="0" fontId="69" fillId="30" borderId="0" xfId="42" applyFont="1" applyFill="1" applyAlignment="1">
      <alignment vertical="center"/>
    </xf>
    <xf numFmtId="0" fontId="67" fillId="30" borderId="0" xfId="42" applyFont="1" applyFill="1" applyAlignment="1">
      <alignment horizontal="left" vertical="center"/>
    </xf>
    <xf numFmtId="0" fontId="66" fillId="30" borderId="0" xfId="42" applyFont="1" applyFill="1" applyAlignment="1">
      <alignment vertical="center"/>
    </xf>
    <xf numFmtId="0" fontId="67" fillId="30" borderId="0" xfId="42" applyFont="1" applyFill="1" applyAlignment="1">
      <alignment horizontal="right" vertical="center"/>
    </xf>
    <xf numFmtId="0" fontId="56" fillId="0" borderId="0" xfId="42" applyFont="1"/>
    <xf numFmtId="0" fontId="68" fillId="32" borderId="69" xfId="42" applyFont="1" applyFill="1" applyBorder="1" applyAlignment="1">
      <alignment horizontal="center" vertical="center"/>
    </xf>
    <xf numFmtId="0" fontId="68" fillId="32" borderId="70" xfId="42" applyFont="1" applyFill="1" applyBorder="1" applyAlignment="1">
      <alignment horizontal="center" vertical="center"/>
    </xf>
    <xf numFmtId="0" fontId="68" fillId="32" borderId="71" xfId="42" applyFont="1" applyFill="1" applyBorder="1" applyAlignment="1">
      <alignment horizontal="center" vertical="center"/>
    </xf>
    <xf numFmtId="0" fontId="69" fillId="28" borderId="0" xfId="42" applyFont="1" applyFill="1" applyAlignment="1">
      <alignment vertical="center"/>
    </xf>
    <xf numFmtId="0" fontId="69" fillId="0" borderId="0" xfId="42" applyFont="1" applyAlignment="1">
      <alignment horizontal="center" vertical="center"/>
    </xf>
    <xf numFmtId="0" fontId="68" fillId="33" borderId="62" xfId="42" applyFont="1" applyFill="1" applyBorder="1" applyAlignment="1">
      <alignment horizontal="center" vertical="center"/>
    </xf>
    <xf numFmtId="0" fontId="68" fillId="33" borderId="63" xfId="42" applyFont="1" applyFill="1" applyBorder="1" applyAlignment="1">
      <alignment horizontal="center" vertical="center"/>
    </xf>
    <xf numFmtId="0" fontId="68" fillId="33" borderId="72" xfId="42" applyFont="1" applyFill="1" applyBorder="1" applyAlignment="1">
      <alignment horizontal="center" vertical="center"/>
    </xf>
    <xf numFmtId="0" fontId="66" fillId="28" borderId="0" xfId="42" applyFont="1" applyFill="1" applyAlignment="1">
      <alignment horizontal="left" vertical="center" indent="1"/>
    </xf>
    <xf numFmtId="0" fontId="56" fillId="28" borderId="59" xfId="42" applyFont="1" applyFill="1" applyBorder="1"/>
    <xf numFmtId="166" fontId="66" fillId="0" borderId="146" xfId="42" applyNumberFormat="1" applyFont="1" applyBorder="1" applyAlignment="1">
      <alignment horizontal="right" vertical="center"/>
    </xf>
    <xf numFmtId="166" fontId="66" fillId="0" borderId="144" xfId="42" applyNumberFormat="1" applyFont="1" applyBorder="1" applyAlignment="1">
      <alignment horizontal="right" vertical="center"/>
    </xf>
    <xf numFmtId="166" fontId="66" fillId="0" borderId="145" xfId="42" applyNumberFormat="1" applyFont="1" applyBorder="1" applyAlignment="1">
      <alignment horizontal="right" vertical="center"/>
    </xf>
    <xf numFmtId="0" fontId="68" fillId="28" borderId="10" xfId="42" applyFont="1" applyFill="1" applyBorder="1" applyAlignment="1">
      <alignment vertical="center"/>
    </xf>
    <xf numFmtId="0" fontId="68" fillId="28" borderId="0" xfId="42" applyFont="1" applyFill="1" applyAlignment="1">
      <alignment vertical="center"/>
    </xf>
    <xf numFmtId="0" fontId="66" fillId="28" borderId="10" xfId="42" applyFont="1" applyFill="1" applyBorder="1" applyAlignment="1">
      <alignment horizontal="left" vertical="center" indent="1"/>
    </xf>
    <xf numFmtId="0" fontId="56" fillId="28" borderId="10" xfId="42" applyFont="1" applyFill="1" applyBorder="1"/>
    <xf numFmtId="0" fontId="68" fillId="28" borderId="0" xfId="42" quotePrefix="1" applyFont="1" applyFill="1" applyAlignment="1">
      <alignment horizontal="center" vertical="center"/>
    </xf>
    <xf numFmtId="166" fontId="66" fillId="0" borderId="147" xfId="42" applyNumberFormat="1" applyFont="1" applyBorder="1" applyAlignment="1">
      <alignment horizontal="right" vertical="center"/>
    </xf>
    <xf numFmtId="166" fontId="66" fillId="0" borderId="148" xfId="42" applyNumberFormat="1" applyFont="1" applyBorder="1" applyAlignment="1">
      <alignment horizontal="right" vertical="center"/>
    </xf>
    <xf numFmtId="0" fontId="70" fillId="28" borderId="73" xfId="42" applyFont="1" applyFill="1" applyBorder="1" applyAlignment="1">
      <alignment vertical="center"/>
    </xf>
    <xf numFmtId="0" fontId="56" fillId="28" borderId="73" xfId="42" applyFont="1" applyFill="1" applyBorder="1"/>
    <xf numFmtId="166" fontId="72" fillId="0" borderId="149" xfId="42" applyNumberFormat="1" applyFont="1" applyBorder="1" applyAlignment="1">
      <alignment vertical="center"/>
    </xf>
    <xf numFmtId="166" fontId="72" fillId="0" borderId="150" xfId="42" applyNumberFormat="1" applyFont="1" applyBorder="1" applyAlignment="1">
      <alignment vertical="center"/>
    </xf>
    <xf numFmtId="166" fontId="72" fillId="0" borderId="151" xfId="42" applyNumberFormat="1" applyFont="1" applyBorder="1" applyAlignment="1">
      <alignment vertical="center"/>
    </xf>
    <xf numFmtId="0" fontId="69" fillId="28" borderId="0" xfId="42" applyFont="1" applyFill="1" applyAlignment="1">
      <alignment horizontal="left" vertical="center"/>
    </xf>
    <xf numFmtId="166" fontId="68" fillId="0" borderId="152" xfId="42" applyNumberFormat="1" applyFont="1" applyBorder="1" applyAlignment="1">
      <alignment vertical="center"/>
    </xf>
    <xf numFmtId="166" fontId="68" fillId="0" borderId="153" xfId="42" applyNumberFormat="1" applyFont="1" applyBorder="1" applyAlignment="1">
      <alignment vertical="center"/>
    </xf>
    <xf numFmtId="166" fontId="68" fillId="0" borderId="154" xfId="42" applyNumberFormat="1" applyFont="1" applyBorder="1" applyAlignment="1">
      <alignment vertical="center"/>
    </xf>
    <xf numFmtId="0" fontId="69" fillId="0" borderId="0" xfId="42" applyFont="1"/>
    <xf numFmtId="0" fontId="68" fillId="32" borderId="75" xfId="42" applyFont="1" applyFill="1" applyBorder="1" applyAlignment="1">
      <alignment horizontal="center" vertical="center" wrapText="1"/>
    </xf>
    <xf numFmtId="0" fontId="66" fillId="28" borderId="129" xfId="42" applyFont="1" applyFill="1" applyBorder="1" applyAlignment="1">
      <alignment horizontal="left" vertical="center" indent="1"/>
    </xf>
    <xf numFmtId="0" fontId="66" fillId="28" borderId="142" xfId="42" applyFont="1" applyFill="1" applyBorder="1" applyAlignment="1">
      <alignment vertical="center"/>
    </xf>
    <xf numFmtId="0" fontId="66" fillId="0" borderId="155" xfId="42" applyFont="1" applyBorder="1" applyAlignment="1">
      <alignment vertical="center"/>
    </xf>
    <xf numFmtId="42" fontId="66" fillId="0" borderId="132" xfId="42" applyNumberFormat="1" applyFont="1" applyBorder="1" applyAlignment="1">
      <alignment horizontal="right" vertical="center"/>
    </xf>
    <xf numFmtId="42" fontId="66" fillId="0" borderId="133" xfId="42" applyNumberFormat="1" applyFont="1" applyBorder="1" applyAlignment="1">
      <alignment horizontal="right" vertical="center"/>
    </xf>
    <xf numFmtId="0" fontId="66" fillId="28" borderId="130" xfId="42" applyFont="1" applyFill="1" applyBorder="1" applyAlignment="1">
      <alignment horizontal="left" vertical="center" indent="1"/>
    </xf>
    <xf numFmtId="7" fontId="66" fillId="28" borderId="0" xfId="42" applyNumberFormat="1" applyFont="1" applyFill="1" applyAlignment="1">
      <alignment vertical="center"/>
    </xf>
    <xf numFmtId="42" fontId="66" fillId="0" borderId="135" xfId="42" applyNumberFormat="1" applyFont="1" applyBorder="1" applyAlignment="1">
      <alignment horizontal="right" vertical="center"/>
    </xf>
    <xf numFmtId="42" fontId="66" fillId="0" borderId="136" xfId="42" applyNumberFormat="1" applyFont="1" applyBorder="1" applyAlignment="1">
      <alignment horizontal="right" vertical="center"/>
    </xf>
    <xf numFmtId="0" fontId="68" fillId="28" borderId="0" xfId="42" applyFont="1" applyFill="1" applyAlignment="1">
      <alignment horizontal="left" vertical="center"/>
    </xf>
    <xf numFmtId="42" fontId="66" fillId="0" borderId="156" xfId="42" applyNumberFormat="1" applyFont="1" applyBorder="1" applyAlignment="1">
      <alignment horizontal="right" vertical="center"/>
    </xf>
    <xf numFmtId="42" fontId="66" fillId="0" borderId="147" xfId="42" applyNumberFormat="1" applyFont="1" applyBorder="1" applyAlignment="1">
      <alignment horizontal="right" vertical="center"/>
    </xf>
    <xf numFmtId="42" fontId="66" fillId="0" borderId="148" xfId="42" applyNumberFormat="1" applyFont="1" applyBorder="1" applyAlignment="1">
      <alignment horizontal="right" vertical="center"/>
    </xf>
    <xf numFmtId="0" fontId="69" fillId="28" borderId="0" xfId="42" applyFont="1" applyFill="1" applyAlignment="1">
      <alignment horizontal="center"/>
    </xf>
    <xf numFmtId="44" fontId="66" fillId="0" borderId="157" xfId="42" applyNumberFormat="1" applyFont="1" applyBorder="1" applyAlignment="1">
      <alignment vertical="center"/>
    </xf>
    <xf numFmtId="44" fontId="66" fillId="0" borderId="159" xfId="42" applyNumberFormat="1" applyFont="1" applyBorder="1" applyAlignment="1">
      <alignment vertical="center"/>
    </xf>
    <xf numFmtId="44" fontId="66" fillId="0" borderId="160" xfId="42" applyNumberFormat="1" applyFont="1" applyBorder="1" applyAlignment="1">
      <alignment vertical="center"/>
    </xf>
    <xf numFmtId="42" fontId="66" fillId="0" borderId="157" xfId="42" applyNumberFormat="1" applyFont="1" applyBorder="1" applyAlignment="1">
      <alignment vertical="center"/>
    </xf>
    <xf numFmtId="0" fontId="66" fillId="28" borderId="10" xfId="42" applyFont="1" applyFill="1" applyBorder="1" applyAlignment="1">
      <alignment horizontal="left" vertical="center"/>
    </xf>
    <xf numFmtId="0" fontId="66" fillId="28" borderId="10" xfId="42" applyFont="1" applyFill="1" applyBorder="1" applyAlignment="1">
      <alignment vertical="center"/>
    </xf>
    <xf numFmtId="42" fontId="66" fillId="0" borderId="161" xfId="42" applyNumberFormat="1" applyFont="1" applyBorder="1" applyAlignment="1">
      <alignment vertical="center"/>
    </xf>
    <xf numFmtId="42" fontId="66" fillId="0" borderId="82" xfId="42" applyNumberFormat="1" applyFont="1" applyBorder="1" applyAlignment="1">
      <alignment vertical="center"/>
    </xf>
    <xf numFmtId="42" fontId="66" fillId="0" borderId="162" xfId="42" applyNumberFormat="1" applyFont="1" applyBorder="1" applyAlignment="1">
      <alignment horizontal="right" vertical="center"/>
    </xf>
    <xf numFmtId="42" fontId="66" fillId="0" borderId="163" xfId="42" applyNumberFormat="1" applyFont="1" applyBorder="1" applyAlignment="1">
      <alignment horizontal="right" vertical="center"/>
    </xf>
    <xf numFmtId="42" fontId="66" fillId="0" borderId="164" xfId="42" applyNumberFormat="1" applyFont="1" applyBorder="1" applyAlignment="1">
      <alignment horizontal="right" vertical="center"/>
    </xf>
    <xf numFmtId="0" fontId="68" fillId="28" borderId="0" xfId="42" applyFont="1" applyFill="1" applyAlignment="1">
      <alignment horizontal="center" vertical="center"/>
    </xf>
    <xf numFmtId="42" fontId="68" fillId="0" borderId="83" xfId="42" quotePrefix="1" applyNumberFormat="1" applyFont="1" applyBorder="1" applyAlignment="1">
      <alignment horizontal="center" vertical="center"/>
    </xf>
    <xf numFmtId="42" fontId="66" fillId="0" borderId="165" xfId="42" applyNumberFormat="1" applyFont="1" applyBorder="1" applyAlignment="1">
      <alignment horizontal="right" vertical="center"/>
    </xf>
    <xf numFmtId="42" fontId="66" fillId="0" borderId="166" xfId="42" applyNumberFormat="1" applyFont="1" applyBorder="1" applyAlignment="1">
      <alignment horizontal="right" vertical="center"/>
    </xf>
    <xf numFmtId="42" fontId="66" fillId="0" borderId="167" xfId="42" applyNumberFormat="1" applyFont="1" applyBorder="1" applyAlignment="1">
      <alignment horizontal="right" vertical="center"/>
    </xf>
    <xf numFmtId="0" fontId="68" fillId="0" borderId="0" xfId="42" applyFont="1" applyAlignment="1">
      <alignment vertical="center"/>
    </xf>
    <xf numFmtId="5" fontId="68" fillId="0" borderId="87" xfId="42" applyNumberFormat="1" applyFont="1" applyBorder="1" applyAlignment="1">
      <alignment vertical="center"/>
    </xf>
    <xf numFmtId="0" fontId="68" fillId="0" borderId="0" xfId="42" quotePrefix="1" applyFont="1" applyAlignment="1">
      <alignment horizontal="center" vertical="center"/>
    </xf>
    <xf numFmtId="42" fontId="68" fillId="0" borderId="168" xfId="42" applyNumberFormat="1" applyFont="1" applyBorder="1" applyAlignment="1">
      <alignment vertical="center"/>
    </xf>
    <xf numFmtId="42" fontId="68" fillId="0" borderId="169" xfId="42" applyNumberFormat="1" applyFont="1" applyBorder="1" applyAlignment="1">
      <alignment vertical="center"/>
    </xf>
    <xf numFmtId="42" fontId="68" fillId="0" borderId="170" xfId="42" applyNumberFormat="1" applyFont="1" applyBorder="1" applyAlignment="1">
      <alignment vertical="center"/>
    </xf>
    <xf numFmtId="44" fontId="68" fillId="28" borderId="0" xfId="42" applyNumberFormat="1" applyFont="1" applyFill="1" applyAlignment="1">
      <alignment vertical="center"/>
    </xf>
    <xf numFmtId="0" fontId="56" fillId="34" borderId="0" xfId="42" applyFont="1" applyFill="1"/>
    <xf numFmtId="0" fontId="7" fillId="28" borderId="0" xfId="44" applyFont="1" applyFill="1"/>
    <xf numFmtId="0" fontId="71" fillId="28" borderId="0" xfId="42" applyFont="1" applyFill="1" applyAlignment="1">
      <alignment horizontal="left" vertical="center"/>
    </xf>
    <xf numFmtId="166" fontId="66" fillId="0" borderId="84" xfId="42" applyNumberFormat="1" applyFont="1" applyBorder="1" applyAlignment="1">
      <alignment horizontal="right" vertical="center"/>
    </xf>
    <xf numFmtId="166" fontId="66" fillId="0" borderId="85" xfId="42" applyNumberFormat="1" applyFont="1" applyBorder="1" applyAlignment="1">
      <alignment horizontal="right" vertical="center"/>
    </xf>
    <xf numFmtId="166" fontId="66" fillId="0" borderId="86" xfId="42" applyNumberFormat="1" applyFont="1" applyBorder="1" applyAlignment="1">
      <alignment horizontal="right" vertical="center"/>
    </xf>
    <xf numFmtId="166" fontId="66" fillId="0" borderId="143" xfId="42" applyNumberFormat="1" applyFont="1" applyBorder="1" applyAlignment="1">
      <alignment horizontal="right" vertical="center"/>
    </xf>
    <xf numFmtId="166" fontId="66" fillId="0" borderId="171" xfId="42" applyNumberFormat="1" applyFont="1" applyBorder="1" applyAlignment="1">
      <alignment horizontal="right" vertical="center"/>
    </xf>
    <xf numFmtId="166" fontId="66" fillId="0" borderId="172" xfId="42" applyNumberFormat="1" applyFont="1" applyBorder="1" applyAlignment="1">
      <alignment horizontal="right" vertical="center"/>
    </xf>
    <xf numFmtId="2" fontId="68" fillId="0" borderId="0" xfId="42" applyNumberFormat="1" applyFont="1" applyAlignment="1">
      <alignment vertical="center"/>
    </xf>
    <xf numFmtId="0" fontId="6" fillId="28" borderId="0" xfId="44" applyFont="1" applyFill="1"/>
    <xf numFmtId="0" fontId="6" fillId="0" borderId="0" xfId="44" applyFont="1"/>
    <xf numFmtId="0" fontId="10" fillId="32" borderId="69" xfId="44" applyFont="1" applyFill="1" applyBorder="1" applyAlignment="1">
      <alignment horizontal="center" vertical="center"/>
    </xf>
    <xf numFmtId="0" fontId="10" fillId="32" borderId="70" xfId="44" applyFont="1" applyFill="1" applyBorder="1" applyAlignment="1">
      <alignment horizontal="center" vertical="center"/>
    </xf>
    <xf numFmtId="0" fontId="10" fillId="32" borderId="71" xfId="44" applyFont="1" applyFill="1" applyBorder="1" applyAlignment="1">
      <alignment horizontal="center" vertical="center"/>
    </xf>
    <xf numFmtId="0" fontId="74" fillId="28" borderId="0" xfId="44" applyFont="1" applyFill="1" applyAlignment="1">
      <alignment horizontal="left" vertical="center"/>
    </xf>
    <xf numFmtId="166" fontId="5" fillId="0" borderId="187" xfId="44" applyNumberFormat="1" applyFont="1" applyBorder="1" applyAlignment="1">
      <alignment horizontal="right" vertical="center"/>
    </xf>
    <xf numFmtId="166" fontId="5" fillId="0" borderId="188" xfId="44" applyNumberFormat="1" applyFont="1" applyBorder="1" applyAlignment="1">
      <alignment horizontal="right" vertical="center"/>
    </xf>
    <xf numFmtId="166" fontId="5" fillId="0" borderId="189" xfId="44" applyNumberFormat="1" applyFont="1" applyBorder="1" applyAlignment="1">
      <alignment horizontal="right" vertical="center"/>
    </xf>
    <xf numFmtId="166" fontId="5" fillId="0" borderId="0" xfId="44" applyNumberFormat="1" applyFont="1" applyAlignment="1">
      <alignment horizontal="right" vertical="center"/>
    </xf>
    <xf numFmtId="166" fontId="5" fillId="0" borderId="190" xfId="44" applyNumberFormat="1" applyFont="1" applyBorder="1" applyAlignment="1">
      <alignment horizontal="right" vertical="center"/>
    </xf>
    <xf numFmtId="166" fontId="5" fillId="0" borderId="191" xfId="44" applyNumberFormat="1" applyFont="1" applyBorder="1" applyAlignment="1">
      <alignment horizontal="right" vertical="center"/>
    </xf>
    <xf numFmtId="166" fontId="5" fillId="0" borderId="192" xfId="44" applyNumberFormat="1" applyFont="1" applyBorder="1" applyAlignment="1">
      <alignment horizontal="right" vertical="center"/>
    </xf>
    <xf numFmtId="164" fontId="5" fillId="0" borderId="45" xfId="44" applyNumberFormat="1" applyFont="1" applyBorder="1" applyAlignment="1">
      <alignment vertical="center"/>
    </xf>
    <xf numFmtId="0" fontId="56" fillId="28" borderId="137" xfId="42" applyFont="1" applyFill="1" applyBorder="1"/>
    <xf numFmtId="0" fontId="69" fillId="28" borderId="137" xfId="42" applyFont="1" applyFill="1" applyBorder="1" applyAlignment="1">
      <alignment vertical="center"/>
    </xf>
    <xf numFmtId="0" fontId="56" fillId="0" borderId="137" xfId="42" applyFont="1" applyBorder="1"/>
    <xf numFmtId="0" fontId="56" fillId="0" borderId="138" xfId="42" applyFont="1" applyBorder="1"/>
    <xf numFmtId="0" fontId="56" fillId="28" borderId="138" xfId="42" applyFont="1" applyFill="1" applyBorder="1"/>
    <xf numFmtId="0" fontId="56" fillId="28" borderId="139" xfId="42" applyFont="1" applyFill="1" applyBorder="1"/>
    <xf numFmtId="0" fontId="68" fillId="33" borderId="143" xfId="42" applyFont="1" applyFill="1" applyBorder="1" applyAlignment="1">
      <alignment horizontal="center" vertical="center"/>
    </xf>
    <xf numFmtId="166" fontId="66" fillId="0" borderId="140" xfId="42" applyNumberFormat="1" applyFont="1" applyBorder="1" applyAlignment="1">
      <alignment horizontal="right" vertical="center"/>
    </xf>
    <xf numFmtId="166" fontId="66" fillId="0" borderId="173" xfId="42" applyNumberFormat="1" applyFont="1" applyBorder="1" applyAlignment="1">
      <alignment horizontal="right" vertical="center"/>
    </xf>
    <xf numFmtId="0" fontId="56" fillId="28" borderId="0" xfId="42" applyFont="1" applyFill="1" applyAlignment="1">
      <alignment horizontal="center"/>
    </xf>
    <xf numFmtId="0" fontId="69" fillId="28" borderId="0" xfId="42" applyFont="1" applyFill="1" applyAlignment="1">
      <alignment horizontal="center" vertical="center"/>
    </xf>
    <xf numFmtId="10" fontId="56" fillId="28" borderId="73" xfId="66" applyNumberFormat="1" applyFont="1" applyFill="1" applyBorder="1" applyProtection="1"/>
    <xf numFmtId="166" fontId="68" fillId="0" borderId="174" xfId="42" applyNumberFormat="1" applyFont="1" applyBorder="1" applyAlignment="1">
      <alignment vertical="center"/>
    </xf>
    <xf numFmtId="42" fontId="66" fillId="0" borderId="143" xfId="42" applyNumberFormat="1" applyFont="1" applyBorder="1" applyAlignment="1">
      <alignment vertical="center"/>
    </xf>
    <xf numFmtId="42" fontId="66" fillId="0" borderId="140" xfId="42" applyNumberFormat="1" applyFont="1" applyBorder="1" applyAlignment="1">
      <alignment vertical="center"/>
    </xf>
    <xf numFmtId="42" fontId="66" fillId="0" borderId="160" xfId="42" applyNumberFormat="1" applyFont="1" applyBorder="1" applyAlignment="1">
      <alignment vertical="center"/>
    </xf>
    <xf numFmtId="42" fontId="66" fillId="0" borderId="131" xfId="42" applyNumberFormat="1" applyFont="1" applyBorder="1" applyAlignment="1">
      <alignment vertical="center"/>
    </xf>
    <xf numFmtId="42" fontId="66" fillId="0" borderId="134" xfId="42" applyNumberFormat="1" applyFont="1" applyBorder="1" applyAlignment="1">
      <alignment vertical="center"/>
    </xf>
    <xf numFmtId="42" fontId="66" fillId="0" borderId="146" xfId="42" applyNumberFormat="1" applyFont="1" applyBorder="1" applyAlignment="1">
      <alignment vertical="center"/>
    </xf>
    <xf numFmtId="42" fontId="66" fillId="0" borderId="175" xfId="42" applyNumberFormat="1" applyFont="1" applyBorder="1" applyAlignment="1">
      <alignment horizontal="right" vertical="center"/>
    </xf>
    <xf numFmtId="0" fontId="68" fillId="28" borderId="76" xfId="42" applyFont="1" applyFill="1" applyBorder="1" applyAlignment="1">
      <alignment horizontal="left" vertical="center"/>
    </xf>
    <xf numFmtId="0" fontId="68" fillId="28" borderId="76" xfId="42" applyFont="1" applyFill="1" applyBorder="1" applyAlignment="1">
      <alignment vertical="center"/>
    </xf>
    <xf numFmtId="0" fontId="66" fillId="28" borderId="76" xfId="42" applyFont="1" applyFill="1" applyBorder="1" applyAlignment="1">
      <alignment vertical="center"/>
    </xf>
    <xf numFmtId="42" fontId="66" fillId="0" borderId="176" xfId="42" applyNumberFormat="1" applyFont="1" applyBorder="1" applyAlignment="1">
      <alignment horizontal="right" vertical="center"/>
    </xf>
    <xf numFmtId="42" fontId="66" fillId="0" borderId="177" xfId="42" applyNumberFormat="1" applyFont="1" applyBorder="1" applyAlignment="1">
      <alignment horizontal="right" vertical="center"/>
    </xf>
    <xf numFmtId="42" fontId="66" fillId="0" borderId="152" xfId="42" quotePrefix="1" applyNumberFormat="1" applyFont="1" applyBorder="1" applyAlignment="1">
      <alignment horizontal="center" vertical="center"/>
    </xf>
    <xf numFmtId="42" fontId="66" fillId="0" borderId="174" xfId="42" applyNumberFormat="1" applyFont="1" applyBorder="1" applyAlignment="1">
      <alignment horizontal="right" vertical="center"/>
    </xf>
    <xf numFmtId="42" fontId="66" fillId="0" borderId="153" xfId="42" applyNumberFormat="1" applyFont="1" applyBorder="1" applyAlignment="1">
      <alignment horizontal="right" vertical="center"/>
    </xf>
    <xf numFmtId="42" fontId="66" fillId="0" borderId="154" xfId="42" applyNumberFormat="1" applyFont="1" applyBorder="1" applyAlignment="1">
      <alignment horizontal="right" vertical="center"/>
    </xf>
    <xf numFmtId="42" fontId="68" fillId="0" borderId="178" xfId="42" applyNumberFormat="1" applyFont="1" applyBorder="1" applyAlignment="1">
      <alignment vertical="center"/>
    </xf>
    <xf numFmtId="0" fontId="64" fillId="28" borderId="0" xfId="42" applyFont="1" applyFill="1"/>
    <xf numFmtId="0" fontId="68" fillId="28" borderId="44" xfId="42" applyFont="1" applyFill="1" applyBorder="1" applyAlignment="1">
      <alignment horizontal="center" vertical="center"/>
    </xf>
    <xf numFmtId="166" fontId="66" fillId="28" borderId="84" xfId="42" applyNumberFormat="1" applyFont="1" applyFill="1" applyBorder="1" applyAlignment="1">
      <alignment horizontal="right" vertical="center"/>
    </xf>
    <xf numFmtId="166" fontId="66" fillId="28" borderId="97" xfId="42" applyNumberFormat="1" applyFont="1" applyFill="1" applyBorder="1" applyAlignment="1">
      <alignment horizontal="right" vertical="center"/>
    </xf>
    <xf numFmtId="166" fontId="66" fillId="28" borderId="85" xfId="42" applyNumberFormat="1" applyFont="1" applyFill="1" applyBorder="1" applyAlignment="1">
      <alignment horizontal="right" vertical="center"/>
    </xf>
    <xf numFmtId="166" fontId="66" fillId="28" borderId="86" xfId="42" applyNumberFormat="1" applyFont="1" applyFill="1" applyBorder="1" applyAlignment="1">
      <alignment horizontal="right" vertical="center"/>
    </xf>
    <xf numFmtId="166" fontId="66" fillId="28" borderId="143" xfId="42" applyNumberFormat="1" applyFont="1" applyFill="1" applyBorder="1" applyAlignment="1">
      <alignment horizontal="right" vertical="center"/>
    </xf>
    <xf numFmtId="166" fontId="66" fillId="28" borderId="179" xfId="42" applyNumberFormat="1" applyFont="1" applyFill="1" applyBorder="1" applyAlignment="1">
      <alignment horizontal="right" vertical="center"/>
    </xf>
    <xf numFmtId="166" fontId="66" fillId="28" borderId="171" xfId="42" applyNumberFormat="1" applyFont="1" applyFill="1" applyBorder="1" applyAlignment="1">
      <alignment horizontal="right" vertical="center"/>
    </xf>
    <xf numFmtId="166" fontId="66" fillId="28" borderId="172" xfId="42" applyNumberFormat="1" applyFont="1" applyFill="1" applyBorder="1" applyAlignment="1">
      <alignment horizontal="right" vertical="center"/>
    </xf>
    <xf numFmtId="0" fontId="10" fillId="28" borderId="44" xfId="44" applyFont="1" applyFill="1" applyBorder="1" applyAlignment="1">
      <alignment horizontal="center" vertical="center"/>
    </xf>
    <xf numFmtId="166" fontId="5" fillId="28" borderId="84" xfId="44" applyNumberFormat="1" applyFont="1" applyFill="1" applyBorder="1" applyAlignment="1">
      <alignment horizontal="right" vertical="center"/>
    </xf>
    <xf numFmtId="166" fontId="5" fillId="28" borderId="97" xfId="44" applyNumberFormat="1" applyFont="1" applyFill="1" applyBorder="1" applyAlignment="1">
      <alignment horizontal="right" vertical="center"/>
    </xf>
    <xf numFmtId="166" fontId="5" fillId="28" borderId="85" xfId="44" applyNumberFormat="1" applyFont="1" applyFill="1" applyBorder="1" applyAlignment="1">
      <alignment horizontal="right" vertical="center"/>
    </xf>
    <xf numFmtId="166" fontId="5" fillId="28" borderId="86" xfId="44" applyNumberFormat="1" applyFont="1" applyFill="1" applyBorder="1" applyAlignment="1">
      <alignment horizontal="right" vertical="center"/>
    </xf>
    <xf numFmtId="166" fontId="5" fillId="28" borderId="0" xfId="44" applyNumberFormat="1" applyFont="1" applyFill="1" applyAlignment="1">
      <alignment horizontal="right" vertical="center"/>
    </xf>
    <xf numFmtId="0" fontId="59" fillId="0" borderId="0" xfId="52" applyFont="1"/>
    <xf numFmtId="166" fontId="66" fillId="0" borderId="135" xfId="42" applyNumberFormat="1" applyFont="1" applyBorder="1" applyAlignment="1">
      <alignment horizontal="right" vertical="center"/>
    </xf>
    <xf numFmtId="0" fontId="66" fillId="28" borderId="211" xfId="42" applyFont="1" applyFill="1" applyBorder="1" applyAlignment="1">
      <alignment vertical="center"/>
    </xf>
    <xf numFmtId="0" fontId="68" fillId="0" borderId="65" xfId="42" quotePrefix="1" applyFont="1" applyBorder="1" applyAlignment="1">
      <alignment horizontal="center" vertical="center"/>
    </xf>
    <xf numFmtId="0" fontId="66" fillId="28" borderId="65" xfId="42" applyFont="1" applyFill="1" applyBorder="1" applyAlignment="1">
      <alignment vertical="center"/>
    </xf>
    <xf numFmtId="2" fontId="68" fillId="0" borderId="225" xfId="42" applyNumberFormat="1" applyFont="1" applyBorder="1" applyAlignment="1">
      <alignment vertical="center"/>
    </xf>
    <xf numFmtId="0" fontId="56" fillId="28" borderId="41" xfId="42" applyFont="1" applyFill="1" applyBorder="1"/>
    <xf numFmtId="2" fontId="68" fillId="0" borderId="227" xfId="42" applyNumberFormat="1" applyFont="1" applyBorder="1" applyAlignment="1">
      <alignment vertical="center"/>
    </xf>
    <xf numFmtId="2" fontId="68" fillId="0" borderId="228" xfId="42" applyNumberFormat="1" applyFont="1" applyBorder="1" applyAlignment="1">
      <alignment vertical="center"/>
    </xf>
    <xf numFmtId="2" fontId="68" fillId="0" borderId="229" xfId="42" applyNumberFormat="1" applyFont="1" applyBorder="1" applyAlignment="1">
      <alignment vertical="center"/>
    </xf>
    <xf numFmtId="166" fontId="66" fillId="0" borderId="141" xfId="42" applyNumberFormat="1" applyFont="1" applyBorder="1" applyAlignment="1">
      <alignment horizontal="right" vertical="center"/>
    </xf>
    <xf numFmtId="166" fontId="68" fillId="0" borderId="146" xfId="42" applyNumberFormat="1" applyFont="1" applyBorder="1" applyAlignment="1">
      <alignment horizontal="right" vertical="center"/>
    </xf>
    <xf numFmtId="2" fontId="68" fillId="28" borderId="224" xfId="42" applyNumberFormat="1" applyFont="1" applyFill="1" applyBorder="1" applyAlignment="1">
      <alignment vertical="center"/>
    </xf>
    <xf numFmtId="2" fontId="68" fillId="28" borderId="225" xfId="42" applyNumberFormat="1" applyFont="1" applyFill="1" applyBorder="1" applyAlignment="1">
      <alignment vertical="center"/>
    </xf>
    <xf numFmtId="166" fontId="66" fillId="28" borderId="226" xfId="42" applyNumberFormat="1" applyFont="1" applyFill="1" applyBorder="1" applyAlignment="1">
      <alignment horizontal="right" vertical="center"/>
    </xf>
    <xf numFmtId="0" fontId="66" fillId="28" borderId="41" xfId="42" applyFont="1" applyFill="1" applyBorder="1" applyAlignment="1">
      <alignment vertical="center"/>
    </xf>
    <xf numFmtId="42" fontId="66" fillId="0" borderId="159" xfId="42" applyNumberFormat="1" applyFont="1" applyBorder="1" applyAlignment="1">
      <alignment vertical="center"/>
    </xf>
    <xf numFmtId="0" fontId="68" fillId="28" borderId="65" xfId="42" applyFont="1" applyFill="1" applyBorder="1" applyAlignment="1">
      <alignment vertical="center"/>
    </xf>
    <xf numFmtId="0" fontId="66" fillId="28" borderId="232" xfId="42" applyFont="1" applyFill="1" applyBorder="1" applyAlignment="1">
      <alignment vertical="center"/>
    </xf>
    <xf numFmtId="0" fontId="66" fillId="28" borderId="233" xfId="42" applyFont="1" applyFill="1" applyBorder="1" applyAlignment="1">
      <alignment vertical="center"/>
    </xf>
    <xf numFmtId="0" fontId="66" fillId="28" borderId="0" xfId="42" applyFont="1" applyFill="1" applyAlignment="1">
      <alignment horizontal="left" vertical="center"/>
    </xf>
    <xf numFmtId="42" fontId="66" fillId="0" borderId="234" xfId="42" applyNumberFormat="1" applyFont="1" applyBorder="1" applyAlignment="1">
      <alignment horizontal="right" vertical="center"/>
    </xf>
    <xf numFmtId="42" fontId="66" fillId="0" borderId="236" xfId="42" applyNumberFormat="1" applyFont="1" applyBorder="1" applyAlignment="1">
      <alignment vertical="center"/>
    </xf>
    <xf numFmtId="42" fontId="66" fillId="0" borderId="235" xfId="42" applyNumberFormat="1" applyFont="1" applyBorder="1" applyAlignment="1">
      <alignment vertical="center"/>
    </xf>
    <xf numFmtId="42" fontId="66" fillId="0" borderId="237" xfId="42" applyNumberFormat="1" applyFont="1" applyBorder="1" applyAlignment="1">
      <alignment vertical="center"/>
    </xf>
    <xf numFmtId="42" fontId="66" fillId="0" borderId="239" xfId="42" applyNumberFormat="1" applyFont="1" applyBorder="1" applyAlignment="1">
      <alignment vertical="center"/>
    </xf>
    <xf numFmtId="42" fontId="66" fillId="0" borderId="238" xfId="42" applyNumberFormat="1" applyFont="1" applyBorder="1" applyAlignment="1">
      <alignment horizontal="right" vertical="center"/>
    </xf>
    <xf numFmtId="42" fontId="66" fillId="0" borderId="240" xfId="42" applyNumberFormat="1" applyFont="1" applyBorder="1" applyAlignment="1">
      <alignment vertical="center"/>
    </xf>
    <xf numFmtId="0" fontId="66" fillId="28" borderId="241" xfId="42" applyFont="1" applyFill="1" applyBorder="1" applyAlignment="1">
      <alignment vertical="center"/>
    </xf>
    <xf numFmtId="0" fontId="66" fillId="28" borderId="242" xfId="42" applyFont="1" applyFill="1" applyBorder="1" applyAlignment="1">
      <alignment horizontal="left" vertical="center"/>
    </xf>
    <xf numFmtId="0" fontId="68" fillId="28" borderId="242" xfId="42" applyFont="1" applyFill="1" applyBorder="1" applyAlignment="1">
      <alignment vertical="center"/>
    </xf>
    <xf numFmtId="0" fontId="66" fillId="28" borderId="242" xfId="42" applyFont="1" applyFill="1" applyBorder="1" applyAlignment="1">
      <alignment vertical="center"/>
    </xf>
    <xf numFmtId="164" fontId="5" fillId="0" borderId="243" xfId="44" applyNumberFormat="1" applyFont="1" applyBorder="1" applyAlignment="1">
      <alignment vertical="center"/>
    </xf>
    <xf numFmtId="164" fontId="5" fillId="0" borderId="244" xfId="44" applyNumberFormat="1" applyFont="1" applyBorder="1" applyAlignment="1">
      <alignment vertical="center"/>
    </xf>
    <xf numFmtId="2" fontId="10" fillId="0" borderId="245" xfId="44" applyNumberFormat="1" applyFont="1" applyBorder="1" applyAlignment="1">
      <alignment vertical="center"/>
    </xf>
    <xf numFmtId="2" fontId="10" fillId="0" borderId="246" xfId="44" applyNumberFormat="1" applyFont="1" applyBorder="1" applyAlignment="1">
      <alignment vertical="center"/>
    </xf>
    <xf numFmtId="2" fontId="10" fillId="0" borderId="247" xfId="44" applyNumberFormat="1" applyFont="1" applyBorder="1" applyAlignment="1">
      <alignment vertical="center"/>
    </xf>
    <xf numFmtId="0" fontId="0" fillId="0" borderId="158" xfId="0" applyBorder="1"/>
    <xf numFmtId="166" fontId="66" fillId="0" borderId="249" xfId="42" applyNumberFormat="1" applyFont="1" applyBorder="1" applyAlignment="1">
      <alignment horizontal="right" vertical="center"/>
    </xf>
    <xf numFmtId="166" fontId="66" fillId="0" borderId="248" xfId="42" applyNumberFormat="1" applyFont="1" applyBorder="1" applyAlignment="1">
      <alignment horizontal="right" vertical="center"/>
    </xf>
    <xf numFmtId="166" fontId="72" fillId="0" borderId="250" xfId="42" applyNumberFormat="1" applyFont="1" applyBorder="1" applyAlignment="1">
      <alignment vertical="center"/>
    </xf>
    <xf numFmtId="166" fontId="72" fillId="0" borderId="251" xfId="42" applyNumberFormat="1" applyFont="1" applyBorder="1" applyAlignment="1">
      <alignment vertical="center"/>
    </xf>
    <xf numFmtId="166" fontId="72" fillId="0" borderId="252" xfId="42" applyNumberFormat="1" applyFont="1" applyBorder="1" applyAlignment="1">
      <alignment vertical="center"/>
    </xf>
    <xf numFmtId="166" fontId="72" fillId="0" borderId="253" xfId="42" applyNumberFormat="1" applyFont="1" applyBorder="1" applyAlignment="1">
      <alignment vertical="center"/>
    </xf>
    <xf numFmtId="166" fontId="68" fillId="0" borderId="254" xfId="42" applyNumberFormat="1" applyFont="1" applyBorder="1" applyAlignment="1">
      <alignment vertical="center"/>
    </xf>
    <xf numFmtId="166" fontId="68" fillId="0" borderId="190" xfId="42" applyNumberFormat="1" applyFont="1" applyBorder="1" applyAlignment="1">
      <alignment horizontal="right" vertical="center"/>
    </xf>
    <xf numFmtId="166" fontId="68" fillId="0" borderId="191" xfId="42" applyNumberFormat="1" applyFont="1" applyBorder="1" applyAlignment="1">
      <alignment horizontal="right" vertical="center"/>
    </xf>
    <xf numFmtId="166" fontId="68" fillId="0" borderId="163" xfId="42" applyNumberFormat="1" applyFont="1" applyBorder="1" applyAlignment="1">
      <alignment horizontal="right" vertical="center"/>
    </xf>
    <xf numFmtId="166" fontId="68" fillId="0" borderId="256" xfId="42" applyNumberFormat="1" applyFont="1" applyBorder="1" applyAlignment="1">
      <alignment horizontal="right" vertical="center"/>
    </xf>
    <xf numFmtId="166" fontId="68" fillId="0" borderId="65" xfId="42" applyNumberFormat="1" applyFont="1" applyBorder="1" applyAlignment="1">
      <alignment horizontal="right" vertical="center"/>
    </xf>
    <xf numFmtId="166" fontId="68" fillId="0" borderId="258" xfId="42" applyNumberFormat="1" applyFont="1" applyBorder="1" applyAlignment="1">
      <alignment horizontal="right" vertical="center"/>
    </xf>
    <xf numFmtId="166" fontId="66" fillId="0" borderId="259" xfId="42" applyNumberFormat="1" applyFont="1" applyBorder="1" applyAlignment="1">
      <alignment horizontal="right" vertical="center"/>
    </xf>
    <xf numFmtId="166" fontId="66" fillId="0" borderId="260" xfId="42" applyNumberFormat="1" applyFont="1" applyBorder="1" applyAlignment="1">
      <alignment horizontal="right" vertical="center"/>
    </xf>
    <xf numFmtId="166" fontId="66" fillId="0" borderId="262" xfId="42" applyNumberFormat="1" applyFont="1" applyBorder="1" applyAlignment="1">
      <alignment horizontal="right" vertical="center"/>
    </xf>
    <xf numFmtId="166" fontId="66" fillId="0" borderId="261" xfId="42" applyNumberFormat="1" applyFont="1" applyBorder="1" applyAlignment="1">
      <alignment horizontal="right" vertical="center"/>
    </xf>
    <xf numFmtId="2" fontId="68" fillId="28" borderId="228" xfId="42" applyNumberFormat="1" applyFont="1" applyFill="1" applyBorder="1" applyAlignment="1">
      <alignment vertical="center"/>
    </xf>
    <xf numFmtId="2" fontId="68" fillId="28" borderId="263" xfId="42" applyNumberFormat="1" applyFont="1" applyFill="1" applyBorder="1" applyAlignment="1">
      <alignment vertical="center"/>
    </xf>
    <xf numFmtId="2" fontId="68" fillId="28" borderId="264" xfId="42" applyNumberFormat="1" applyFont="1" applyFill="1" applyBorder="1" applyAlignment="1">
      <alignment vertical="center"/>
    </xf>
    <xf numFmtId="0" fontId="66" fillId="28" borderId="233" xfId="42" applyFont="1" applyFill="1" applyBorder="1" applyAlignment="1">
      <alignment horizontal="left" vertical="center"/>
    </xf>
    <xf numFmtId="0" fontId="68" fillId="28" borderId="233" xfId="42" applyFont="1" applyFill="1" applyBorder="1" applyAlignment="1">
      <alignment vertical="center"/>
    </xf>
    <xf numFmtId="0" fontId="56" fillId="0" borderId="44" xfId="42" applyFont="1" applyBorder="1"/>
    <xf numFmtId="2" fontId="10" fillId="28" borderId="0" xfId="44" applyNumberFormat="1" applyFont="1" applyFill="1" applyAlignment="1">
      <alignment vertical="center"/>
    </xf>
    <xf numFmtId="164" fontId="60" fillId="0" borderId="0" xfId="52" applyNumberFormat="1" applyFont="1"/>
    <xf numFmtId="42" fontId="66" fillId="29" borderId="140" xfId="42" applyNumberFormat="1" applyFont="1" applyFill="1" applyBorder="1" applyAlignment="1" applyProtection="1">
      <alignment horizontal="right" vertical="center"/>
      <protection locked="0"/>
    </xf>
    <xf numFmtId="42" fontId="66" fillId="29" borderId="141" xfId="42" applyNumberFormat="1" applyFont="1" applyFill="1" applyBorder="1" applyAlignment="1" applyProtection="1">
      <alignment horizontal="right" vertical="center"/>
      <protection locked="0"/>
    </xf>
    <xf numFmtId="49" fontId="66" fillId="29" borderId="223" xfId="42" applyNumberFormat="1" applyFont="1" applyFill="1" applyBorder="1" applyAlignment="1" applyProtection="1">
      <alignment vertical="center"/>
      <protection locked="0"/>
    </xf>
    <xf numFmtId="49" fontId="66" fillId="29" borderId="218" xfId="42" applyNumberFormat="1" applyFont="1" applyFill="1" applyBorder="1" applyAlignment="1" applyProtection="1">
      <alignment vertical="center"/>
      <protection locked="0"/>
    </xf>
    <xf numFmtId="49" fontId="66" fillId="29" borderId="94" xfId="42" applyNumberFormat="1" applyFont="1" applyFill="1" applyBorder="1" applyAlignment="1" applyProtection="1">
      <alignment vertical="center"/>
      <protection locked="0"/>
    </xf>
    <xf numFmtId="49" fontId="5" fillId="29" borderId="219" xfId="44" applyNumberFormat="1" applyFont="1" applyFill="1" applyBorder="1" applyAlignment="1" applyProtection="1">
      <alignment vertical="center"/>
      <protection locked="0"/>
    </xf>
    <xf numFmtId="49" fontId="5" fillId="29" borderId="220" xfId="44" applyNumberFormat="1" applyFont="1" applyFill="1" applyBorder="1" applyAlignment="1" applyProtection="1">
      <alignment vertical="center"/>
      <protection locked="0"/>
    </xf>
    <xf numFmtId="49" fontId="5" fillId="29" borderId="62" xfId="44" applyNumberFormat="1" applyFont="1" applyFill="1" applyBorder="1" applyAlignment="1" applyProtection="1">
      <alignment vertical="center"/>
      <protection locked="0"/>
    </xf>
    <xf numFmtId="49" fontId="5" fillId="29" borderId="63" xfId="44" applyNumberFormat="1" applyFont="1" applyFill="1" applyBorder="1" applyAlignment="1" applyProtection="1">
      <alignment vertical="center"/>
      <protection locked="0"/>
    </xf>
    <xf numFmtId="49" fontId="5" fillId="29" borderId="115" xfId="44" applyNumberFormat="1" applyFont="1" applyFill="1" applyBorder="1" applyAlignment="1" applyProtection="1">
      <alignment vertical="center"/>
      <protection locked="0"/>
    </xf>
    <xf numFmtId="49" fontId="5" fillId="29" borderId="212" xfId="44" applyNumberFormat="1" applyFont="1" applyFill="1" applyBorder="1" applyAlignment="1" applyProtection="1">
      <alignment vertical="center"/>
      <protection locked="0"/>
    </xf>
    <xf numFmtId="49" fontId="5" fillId="29" borderId="213" xfId="44" applyNumberFormat="1" applyFont="1" applyFill="1" applyBorder="1" applyAlignment="1" applyProtection="1">
      <alignment vertical="center"/>
      <protection locked="0"/>
    </xf>
    <xf numFmtId="49" fontId="5" fillId="29" borderId="214"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vertical="center"/>
      <protection locked="0"/>
    </xf>
    <xf numFmtId="49" fontId="5" fillId="29" borderId="217" xfId="44" applyNumberFormat="1" applyFont="1" applyFill="1" applyBorder="1" applyAlignment="1" applyProtection="1">
      <alignment vertical="center"/>
      <protection locked="0"/>
    </xf>
    <xf numFmtId="49" fontId="5" fillId="29" borderId="218" xfId="44" applyNumberFormat="1" applyFont="1" applyFill="1" applyBorder="1" applyAlignment="1" applyProtection="1">
      <alignment vertical="center"/>
      <protection locked="0"/>
    </xf>
    <xf numFmtId="49" fontId="5" fillId="29" borderId="41" xfId="44" applyNumberFormat="1" applyFont="1" applyFill="1" applyBorder="1" applyAlignment="1" applyProtection="1">
      <alignment vertical="center"/>
      <protection locked="0"/>
    </xf>
    <xf numFmtId="49" fontId="5" fillId="29" borderId="0" xfId="44" applyNumberFormat="1" applyFont="1" applyFill="1" applyAlignment="1" applyProtection="1">
      <alignment vertical="center"/>
      <protection locked="0"/>
    </xf>
    <xf numFmtId="49" fontId="5" fillId="29" borderId="112" xfId="44" applyNumberFormat="1" applyFont="1" applyFill="1" applyBorder="1" applyAlignment="1" applyProtection="1">
      <alignment vertical="center"/>
      <protection locked="0"/>
    </xf>
    <xf numFmtId="49" fontId="5" fillId="29" borderId="221" xfId="44" applyNumberFormat="1" applyFont="1" applyFill="1" applyBorder="1" applyAlignment="1" applyProtection="1">
      <alignment vertical="center"/>
      <protection locked="0"/>
    </xf>
    <xf numFmtId="49" fontId="66" fillId="29" borderId="62" xfId="42" applyNumberFormat="1" applyFont="1" applyFill="1" applyBorder="1" applyAlignment="1" applyProtection="1">
      <alignment vertical="center"/>
      <protection locked="0"/>
    </xf>
    <xf numFmtId="49" fontId="66" fillId="29" borderId="222" xfId="42" applyNumberFormat="1" applyFont="1" applyFill="1" applyBorder="1" applyAlignment="1" applyProtection="1">
      <alignment vertical="center"/>
      <protection locked="0"/>
    </xf>
    <xf numFmtId="49" fontId="66" fillId="29" borderId="216" xfId="42" applyNumberFormat="1" applyFont="1" applyFill="1" applyBorder="1" applyAlignment="1" applyProtection="1">
      <alignment horizontal="left" vertical="center"/>
      <protection locked="0"/>
    </xf>
    <xf numFmtId="49" fontId="66" fillId="29" borderId="217" xfId="42" applyNumberFormat="1" applyFont="1" applyFill="1" applyBorder="1" applyAlignment="1" applyProtection="1">
      <alignment vertical="center"/>
      <protection locked="0"/>
    </xf>
    <xf numFmtId="49" fontId="66" fillId="29" borderId="43" xfId="42" applyNumberFormat="1" applyFont="1" applyFill="1" applyBorder="1" applyAlignment="1" applyProtection="1">
      <alignment vertical="center"/>
      <protection locked="0"/>
    </xf>
    <xf numFmtId="49" fontId="66" fillId="29" borderId="44" xfId="42" applyNumberFormat="1" applyFont="1" applyFill="1" applyBorder="1" applyAlignment="1" applyProtection="1">
      <alignment vertical="center"/>
      <protection locked="0"/>
    </xf>
    <xf numFmtId="49" fontId="66" fillId="29" borderId="268" xfId="42" applyNumberFormat="1" applyFont="1" applyFill="1" applyBorder="1" applyAlignment="1" applyProtection="1">
      <alignment vertical="center"/>
      <protection locked="0"/>
    </xf>
    <xf numFmtId="49" fontId="66" fillId="29" borderId="269" xfId="42" applyNumberFormat="1" applyFont="1" applyFill="1" applyBorder="1" applyAlignment="1" applyProtection="1">
      <alignment vertical="center"/>
      <protection locked="0"/>
    </xf>
    <xf numFmtId="166" fontId="66" fillId="29" borderId="230" xfId="42" applyNumberFormat="1" applyFont="1" applyFill="1" applyBorder="1" applyAlignment="1" applyProtection="1">
      <alignment horizontal="right" vertical="center"/>
      <protection locked="0"/>
    </xf>
    <xf numFmtId="49" fontId="66" fillId="29" borderId="265" xfId="42" applyNumberFormat="1" applyFont="1" applyFill="1" applyBorder="1" applyAlignment="1" applyProtection="1">
      <alignment horizontal="left" vertical="center"/>
      <protection locked="0"/>
    </xf>
    <xf numFmtId="49" fontId="66" fillId="29" borderId="266" xfId="42" applyNumberFormat="1" applyFont="1" applyFill="1" applyBorder="1" applyAlignment="1" applyProtection="1">
      <alignment horizontal="left" vertical="center"/>
      <protection locked="0"/>
    </xf>
    <xf numFmtId="49" fontId="66" fillId="29" borderId="267" xfId="42" applyNumberFormat="1" applyFont="1" applyFill="1" applyBorder="1" applyAlignment="1" applyProtection="1">
      <alignment horizontal="left" vertical="center"/>
      <protection locked="0"/>
    </xf>
    <xf numFmtId="166" fontId="66" fillId="29" borderId="215" xfId="42" applyNumberFormat="1" applyFont="1" applyFill="1" applyBorder="1" applyAlignment="1" applyProtection="1">
      <alignment horizontal="right" vertical="center"/>
      <protection locked="0"/>
    </xf>
    <xf numFmtId="49" fontId="66" fillId="29" borderId="43" xfId="42" applyNumberFormat="1" applyFont="1" applyFill="1" applyBorder="1" applyAlignment="1" applyProtection="1">
      <alignment horizontal="left" vertical="center"/>
      <protection locked="0"/>
    </xf>
    <xf numFmtId="49" fontId="66" fillId="29" borderId="44" xfId="42" applyNumberFormat="1" applyFont="1" applyFill="1" applyBorder="1" applyAlignment="1" applyProtection="1">
      <alignment horizontal="left" vertical="center"/>
      <protection locked="0"/>
    </xf>
    <xf numFmtId="49" fontId="66" fillId="29" borderId="45" xfId="42" applyNumberFormat="1" applyFont="1" applyFill="1" applyBorder="1" applyAlignment="1" applyProtection="1">
      <alignment horizontal="left" vertical="center"/>
      <protection locked="0"/>
    </xf>
    <xf numFmtId="166" fontId="66" fillId="29" borderId="231" xfId="42" applyNumberFormat="1" applyFont="1" applyFill="1" applyBorder="1" applyAlignment="1" applyProtection="1">
      <alignment horizontal="right" vertical="center"/>
      <protection locked="0"/>
    </xf>
    <xf numFmtId="49" fontId="5" fillId="29" borderId="268" xfId="44" applyNumberFormat="1" applyFont="1" applyFill="1" applyBorder="1" applyAlignment="1" applyProtection="1">
      <alignment vertical="center"/>
      <protection locked="0"/>
    </xf>
    <xf numFmtId="49" fontId="5" fillId="29" borderId="222" xfId="44" applyNumberFormat="1" applyFont="1" applyFill="1" applyBorder="1" applyAlignment="1" applyProtection="1">
      <alignment vertical="center"/>
      <protection locked="0"/>
    </xf>
    <xf numFmtId="49" fontId="5" fillId="29" borderId="269"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horizontal="left" vertical="center"/>
      <protection locked="0"/>
    </xf>
    <xf numFmtId="49" fontId="5" fillId="29" borderId="217" xfId="44" applyNumberFormat="1" applyFont="1" applyFill="1" applyBorder="1" applyAlignment="1" applyProtection="1">
      <alignment horizontal="left" vertical="center"/>
      <protection locked="0"/>
    </xf>
    <xf numFmtId="49" fontId="5" fillId="29" borderId="270" xfId="44" applyNumberFormat="1" applyFont="1" applyFill="1" applyBorder="1" applyAlignment="1" applyProtection="1">
      <alignment horizontal="left" vertical="center"/>
      <protection locked="0"/>
    </xf>
    <xf numFmtId="49" fontId="5" fillId="29" borderId="265" xfId="44" applyNumberFormat="1" applyFont="1" applyFill="1" applyBorder="1" applyAlignment="1" applyProtection="1">
      <alignment horizontal="left" vertical="center"/>
      <protection locked="0"/>
    </xf>
    <xf numFmtId="49" fontId="5" fillId="29" borderId="266" xfId="44" applyNumberFormat="1" applyFont="1" applyFill="1" applyBorder="1" applyAlignment="1" applyProtection="1">
      <alignment horizontal="left" vertical="center"/>
      <protection locked="0"/>
    </xf>
    <xf numFmtId="49" fontId="5" fillId="29" borderId="267" xfId="44" applyNumberFormat="1" applyFont="1" applyFill="1" applyBorder="1" applyAlignment="1" applyProtection="1">
      <alignment horizontal="left" vertical="center"/>
      <protection locked="0"/>
    </xf>
    <xf numFmtId="49" fontId="5" fillId="29" borderId="43" xfId="44" applyNumberFormat="1" applyFont="1" applyFill="1" applyBorder="1" applyAlignment="1" applyProtection="1">
      <alignment horizontal="left" vertical="center"/>
      <protection locked="0"/>
    </xf>
    <xf numFmtId="49" fontId="5" fillId="29" borderId="44" xfId="44" applyNumberFormat="1" applyFont="1" applyFill="1" applyBorder="1" applyAlignment="1" applyProtection="1">
      <alignment horizontal="left" vertical="center"/>
      <protection locked="0"/>
    </xf>
    <xf numFmtId="49" fontId="5" fillId="29" borderId="45" xfId="44" applyNumberFormat="1" applyFont="1" applyFill="1" applyBorder="1" applyAlignment="1" applyProtection="1">
      <alignment horizontal="left" vertical="center"/>
      <protection locked="0"/>
    </xf>
    <xf numFmtId="0" fontId="11" fillId="24" borderId="0" xfId="61" applyFont="1" applyFill="1" applyAlignment="1">
      <alignment horizontal="center"/>
    </xf>
    <xf numFmtId="0" fontId="1" fillId="24" borderId="0" xfId="61" applyFill="1"/>
    <xf numFmtId="0" fontId="7" fillId="30" borderId="46" xfId="43" applyFont="1" applyFill="1" applyBorder="1" applyAlignment="1">
      <alignment horizontal="center" vertical="center" wrapText="1"/>
    </xf>
    <xf numFmtId="0" fontId="7" fillId="30" borderId="47" xfId="43" applyFont="1" applyFill="1" applyBorder="1" applyAlignment="1">
      <alignment horizontal="center" vertical="center" wrapText="1"/>
    </xf>
    <xf numFmtId="0" fontId="7" fillId="30" borderId="48" xfId="43" applyFont="1" applyFill="1" applyBorder="1" applyAlignment="1">
      <alignment horizontal="center" vertical="center" wrapText="1"/>
    </xf>
    <xf numFmtId="9" fontId="6" fillId="24" borderId="49" xfId="65" applyFont="1" applyFill="1" applyBorder="1" applyAlignment="1" applyProtection="1">
      <alignment horizontal="right" vertical="top"/>
    </xf>
    <xf numFmtId="9" fontId="6" fillId="24" borderId="50" xfId="65" applyFont="1" applyFill="1" applyBorder="1" applyAlignment="1" applyProtection="1">
      <alignment horizontal="center" vertical="top" wrapText="1"/>
    </xf>
    <xf numFmtId="9" fontId="6" fillId="24" borderId="52" xfId="65" applyFont="1" applyFill="1" applyBorder="1" applyAlignment="1" applyProtection="1">
      <alignment horizontal="center" vertical="top" wrapText="1"/>
    </xf>
    <xf numFmtId="9" fontId="6" fillId="24" borderId="55" xfId="65" applyFont="1" applyFill="1" applyBorder="1" applyAlignment="1" applyProtection="1">
      <alignment horizontal="right" vertical="top"/>
    </xf>
    <xf numFmtId="9" fontId="6" fillId="24" borderId="56" xfId="65" applyFont="1" applyFill="1" applyBorder="1" applyAlignment="1" applyProtection="1">
      <alignment horizontal="center" vertical="top" wrapText="1"/>
    </xf>
    <xf numFmtId="0" fontId="7" fillId="31" borderId="43" xfId="61" applyFont="1" applyFill="1" applyBorder="1" applyAlignment="1">
      <alignment vertical="top" wrapText="1"/>
    </xf>
    <xf numFmtId="37" fontId="6" fillId="31" borderId="57" xfId="61" applyNumberFormat="1" applyFont="1" applyFill="1" applyBorder="1" applyAlignment="1">
      <alignment horizontal="right" vertical="top" wrapText="1"/>
    </xf>
    <xf numFmtId="37" fontId="6" fillId="31" borderId="29" xfId="61" applyNumberFormat="1" applyFont="1" applyFill="1" applyBorder="1" applyAlignment="1">
      <alignment horizontal="right" vertical="top" wrapText="1"/>
    </xf>
    <xf numFmtId="0" fontId="6" fillId="31" borderId="31" xfId="61" applyFont="1" applyFill="1" applyBorder="1" applyAlignment="1">
      <alignment horizontal="right" vertical="top" wrapText="1"/>
    </xf>
    <xf numFmtId="1" fontId="6" fillId="24" borderId="18" xfId="61" applyNumberFormat="1" applyFont="1" applyFill="1" applyBorder="1" applyAlignment="1" applyProtection="1">
      <alignment horizontal="right" vertical="top"/>
      <protection locked="0"/>
    </xf>
    <xf numFmtId="1" fontId="6" fillId="24" borderId="12" xfId="61" applyNumberFormat="1" applyFont="1" applyFill="1" applyBorder="1" applyAlignment="1" applyProtection="1">
      <alignment horizontal="right" vertical="top"/>
      <protection locked="0"/>
    </xf>
    <xf numFmtId="1" fontId="6" fillId="24" borderId="19" xfId="61" applyNumberFormat="1" applyFont="1" applyFill="1" applyBorder="1" applyAlignment="1" applyProtection="1">
      <alignment horizontal="right" vertical="top"/>
      <protection locked="0"/>
    </xf>
    <xf numFmtId="1" fontId="6" fillId="24" borderId="21" xfId="61" applyNumberFormat="1" applyFont="1" applyFill="1" applyBorder="1" applyAlignment="1" applyProtection="1">
      <alignment horizontal="right" vertical="top"/>
      <protection locked="0"/>
    </xf>
    <xf numFmtId="1" fontId="6" fillId="24" borderId="22" xfId="61" applyNumberFormat="1" applyFont="1" applyFill="1" applyBorder="1" applyAlignment="1" applyProtection="1">
      <alignment horizontal="right" vertical="top"/>
      <protection locked="0"/>
    </xf>
    <xf numFmtId="1" fontId="6" fillId="24" borderId="53" xfId="61" applyNumberFormat="1" applyFont="1" applyFill="1" applyBorder="1" applyAlignment="1" applyProtection="1">
      <alignment horizontal="right" vertical="top"/>
      <protection locked="0"/>
    </xf>
    <xf numFmtId="1" fontId="6" fillId="24" borderId="54" xfId="61" applyNumberFormat="1" applyFont="1" applyFill="1" applyBorder="1" applyAlignment="1" applyProtection="1">
      <alignment horizontal="right" vertical="top"/>
      <protection locked="0"/>
    </xf>
    <xf numFmtId="1" fontId="6" fillId="24" borderId="23" xfId="61" applyNumberFormat="1" applyFont="1" applyFill="1" applyBorder="1" applyAlignment="1" applyProtection="1">
      <alignment horizontal="right" vertical="top"/>
      <protection locked="0"/>
    </xf>
    <xf numFmtId="14" fontId="6" fillId="24" borderId="16" xfId="61" applyNumberFormat="1" applyFont="1" applyFill="1" applyBorder="1" applyAlignment="1" applyProtection="1">
      <alignment horizontal="right" vertical="top" wrapText="1"/>
      <protection locked="0"/>
    </xf>
    <xf numFmtId="14" fontId="6" fillId="24" borderId="17" xfId="61" applyNumberFormat="1" applyFont="1" applyFill="1" applyBorder="1" applyAlignment="1" applyProtection="1">
      <alignment horizontal="right" vertical="top" wrapText="1"/>
      <protection locked="0"/>
    </xf>
    <xf numFmtId="14" fontId="6" fillId="24" borderId="20" xfId="61" applyNumberFormat="1" applyFont="1" applyFill="1" applyBorder="1" applyAlignment="1" applyProtection="1">
      <alignment horizontal="right" vertical="top" wrapText="1"/>
      <protection locked="0"/>
    </xf>
    <xf numFmtId="9" fontId="6" fillId="24" borderId="208" xfId="65" applyFont="1" applyFill="1" applyBorder="1" applyAlignment="1" applyProtection="1">
      <alignment horizontal="right" vertical="top"/>
    </xf>
    <xf numFmtId="37" fontId="6" fillId="31" borderId="48" xfId="61" applyNumberFormat="1" applyFont="1" applyFill="1" applyBorder="1" applyAlignment="1">
      <alignment horizontal="right" vertical="top" wrapText="1"/>
    </xf>
    <xf numFmtId="0" fontId="0" fillId="28" borderId="0" xfId="0" applyFill="1" applyAlignment="1">
      <alignment wrapText="1"/>
    </xf>
    <xf numFmtId="0" fontId="0" fillId="28" borderId="0" xfId="0" applyFill="1" applyAlignment="1">
      <alignment horizontal="left" vertical="top"/>
    </xf>
    <xf numFmtId="0" fontId="0" fillId="28" borderId="0" xfId="0" applyFill="1" applyAlignment="1">
      <alignment horizontal="left" vertical="top" wrapText="1"/>
    </xf>
    <xf numFmtId="0" fontId="59" fillId="28" borderId="0" xfId="0" applyFont="1" applyFill="1" applyAlignment="1">
      <alignment vertical="top"/>
    </xf>
    <xf numFmtId="0" fontId="0" fillId="28" borderId="0" xfId="0" applyFill="1" applyAlignment="1">
      <alignment vertical="top" wrapText="1"/>
    </xf>
    <xf numFmtId="0" fontId="64" fillId="31" borderId="64" xfId="0" applyFont="1" applyFill="1" applyBorder="1" applyAlignment="1">
      <alignment horizontal="center" vertical="top" wrapText="1"/>
    </xf>
    <xf numFmtId="0" fontId="64" fillId="31" borderId="98" xfId="0" applyFont="1" applyFill="1" applyBorder="1" applyAlignment="1">
      <alignment horizontal="center" vertical="top" wrapText="1"/>
    </xf>
    <xf numFmtId="0" fontId="0" fillId="28" borderId="0" xfId="0" applyFill="1" applyAlignment="1">
      <alignment vertical="center"/>
    </xf>
    <xf numFmtId="14" fontId="56" fillId="28" borderId="24" xfId="0" applyNumberFormat="1" applyFont="1" applyFill="1" applyBorder="1" applyAlignment="1" applyProtection="1">
      <alignment vertical="top" wrapText="1"/>
      <protection locked="0"/>
    </xf>
    <xf numFmtId="0" fontId="56" fillId="28" borderId="24" xfId="0" applyFont="1" applyFill="1" applyBorder="1" applyAlignment="1" applyProtection="1">
      <alignment vertical="top" wrapText="1"/>
      <protection locked="0"/>
    </xf>
    <xf numFmtId="0" fontId="56" fillId="28" borderId="25" xfId="0" applyFont="1" applyFill="1" applyBorder="1" applyAlignment="1" applyProtection="1">
      <alignment vertical="top" wrapText="1"/>
      <protection locked="0"/>
    </xf>
    <xf numFmtId="0" fontId="56" fillId="28" borderId="12" xfId="0" applyFont="1" applyFill="1" applyBorder="1" applyAlignment="1" applyProtection="1">
      <alignment vertical="top" wrapText="1"/>
      <protection locked="0"/>
    </xf>
    <xf numFmtId="0" fontId="56" fillId="28" borderId="26" xfId="0" applyFont="1" applyFill="1" applyBorder="1" applyAlignment="1" applyProtection="1">
      <alignment vertical="top" wrapText="1"/>
      <protection locked="0"/>
    </xf>
    <xf numFmtId="0" fontId="56" fillId="28" borderId="27" xfId="0" applyFont="1" applyFill="1" applyBorder="1" applyAlignment="1" applyProtection="1">
      <alignment vertical="top" wrapText="1"/>
      <protection locked="0"/>
    </xf>
    <xf numFmtId="0" fontId="56" fillId="28" borderId="28" xfId="0" applyFont="1" applyFill="1" applyBorder="1" applyAlignment="1" applyProtection="1">
      <alignment vertical="top" wrapText="1"/>
      <protection locked="0"/>
    </xf>
    <xf numFmtId="37" fontId="6" fillId="31" borderId="30" xfId="61" applyNumberFormat="1" applyFont="1" applyFill="1" applyBorder="1" applyAlignment="1">
      <alignment horizontal="right" vertical="top" wrapText="1"/>
    </xf>
    <xf numFmtId="9" fontId="6" fillId="30" borderId="271" xfId="65" applyFont="1" applyFill="1" applyBorder="1" applyAlignment="1" applyProtection="1">
      <alignment horizontal="center" vertical="top" wrapText="1"/>
    </xf>
    <xf numFmtId="1" fontId="6" fillId="24" borderId="272" xfId="61" applyNumberFormat="1" applyFont="1" applyFill="1" applyBorder="1" applyAlignment="1" applyProtection="1">
      <alignment horizontal="right" vertical="top"/>
      <protection locked="0"/>
    </xf>
    <xf numFmtId="1" fontId="6" fillId="24" borderId="15" xfId="61" applyNumberFormat="1" applyFont="1" applyFill="1" applyBorder="1" applyAlignment="1" applyProtection="1">
      <alignment horizontal="right" vertical="top"/>
      <protection locked="0"/>
    </xf>
    <xf numFmtId="1" fontId="6" fillId="24" borderId="273" xfId="61" applyNumberFormat="1" applyFont="1" applyFill="1" applyBorder="1" applyAlignment="1" applyProtection="1">
      <alignment horizontal="right" vertical="top"/>
      <protection locked="0"/>
    </xf>
    <xf numFmtId="0" fontId="6" fillId="24" borderId="274" xfId="61" applyFont="1" applyFill="1" applyBorder="1" applyAlignment="1" applyProtection="1">
      <alignment vertical="top" wrapText="1"/>
      <protection locked="0"/>
    </xf>
    <xf numFmtId="0" fontId="6" fillId="24" borderId="275" xfId="61" applyFont="1" applyFill="1" applyBorder="1" applyAlignment="1" applyProtection="1">
      <alignment vertical="top" wrapText="1"/>
      <protection locked="0"/>
    </xf>
    <xf numFmtId="0" fontId="6" fillId="24" borderId="276" xfId="61" applyFont="1" applyFill="1" applyBorder="1" applyAlignment="1" applyProtection="1">
      <alignment vertical="top" wrapText="1"/>
      <protection locked="0"/>
    </xf>
    <xf numFmtId="0" fontId="57" fillId="0" borderId="0" xfId="0" applyFont="1" applyAlignment="1" applyProtection="1">
      <alignment horizontal="center"/>
      <protection locked="0"/>
    </xf>
    <xf numFmtId="166" fontId="53" fillId="29" borderId="12" xfId="28" applyNumberFormat="1" applyFont="1" applyFill="1" applyBorder="1" applyProtection="1">
      <protection locked="0"/>
    </xf>
    <xf numFmtId="166" fontId="53" fillId="29" borderId="19" xfId="28" applyNumberFormat="1" applyFont="1" applyFill="1" applyBorder="1" applyProtection="1">
      <protection locked="0"/>
    </xf>
    <xf numFmtId="9" fontId="53" fillId="0" borderId="10" xfId="65" applyFont="1" applyBorder="1" applyProtection="1">
      <protection locked="0"/>
    </xf>
    <xf numFmtId="166" fontId="0" fillId="0" borderId="0" xfId="0" applyNumberFormat="1" applyProtection="1">
      <protection locked="0"/>
    </xf>
    <xf numFmtId="166" fontId="53" fillId="0" borderId="0" xfId="28" applyNumberFormat="1" applyFont="1" applyBorder="1" applyProtection="1"/>
    <xf numFmtId="166" fontId="0" fillId="0" borderId="0" xfId="0" applyNumberFormat="1"/>
    <xf numFmtId="9" fontId="53" fillId="0" borderId="10" xfId="65" applyFont="1" applyBorder="1" applyProtection="1"/>
    <xf numFmtId="44" fontId="54" fillId="0" borderId="0" xfId="28" applyFont="1" applyBorder="1" applyProtection="1"/>
    <xf numFmtId="0" fontId="58" fillId="0" borderId="0" xfId="0" applyFont="1" applyAlignment="1">
      <alignment horizontal="left"/>
    </xf>
    <xf numFmtId="0" fontId="19" fillId="0" borderId="0" xfId="0" applyFont="1" applyAlignment="1">
      <alignment horizontal="left"/>
    </xf>
    <xf numFmtId="0" fontId="0" fillId="0" borderId="10" xfId="0" quotePrefix="1" applyBorder="1"/>
    <xf numFmtId="0" fontId="0" fillId="0" borderId="10" xfId="0" applyBorder="1"/>
    <xf numFmtId="0" fontId="0" fillId="29" borderId="13" xfId="0" applyFill="1" applyBorder="1" applyAlignment="1" applyProtection="1">
      <alignment horizontal="left" wrapText="1"/>
      <protection locked="0"/>
    </xf>
    <xf numFmtId="0" fontId="0" fillId="29" borderId="14"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2" xfId="0" applyFill="1" applyBorder="1" applyAlignment="1" applyProtection="1">
      <alignment horizontal="left"/>
      <protection locked="0"/>
    </xf>
    <xf numFmtId="0" fontId="0" fillId="28" borderId="0" xfId="0" applyFill="1" applyAlignment="1" applyProtection="1">
      <alignment wrapText="1"/>
      <protection locked="0"/>
    </xf>
    <xf numFmtId="0" fontId="0" fillId="28" borderId="0" xfId="0" applyFill="1" applyAlignment="1" applyProtection="1">
      <alignment horizontal="center"/>
      <protection locked="0"/>
    </xf>
    <xf numFmtId="0" fontId="54" fillId="28" borderId="0" xfId="0" applyFont="1" applyFill="1"/>
    <xf numFmtId="0" fontId="55" fillId="28" borderId="0" xfId="0" applyFont="1" applyFill="1" applyAlignment="1">
      <alignment horizontal="left"/>
    </xf>
    <xf numFmtId="0" fontId="55" fillId="0" borderId="0" xfId="0" applyFont="1"/>
    <xf numFmtId="0" fontId="55" fillId="0" borderId="0" xfId="0" applyFont="1" applyAlignment="1">
      <alignment horizontal="left"/>
    </xf>
    <xf numFmtId="0" fontId="55" fillId="0" borderId="0" xfId="0" applyFont="1" applyAlignment="1">
      <alignment horizontal="right"/>
    </xf>
    <xf numFmtId="0" fontId="76" fillId="24" borderId="0" xfId="59" applyFont="1" applyFill="1" applyAlignment="1">
      <alignment vertical="center" wrapText="1"/>
    </xf>
    <xf numFmtId="0" fontId="7" fillId="24" borderId="0" xfId="59" applyFont="1" applyFill="1" applyAlignment="1">
      <alignment horizontal="left" vertical="center" wrapText="1"/>
    </xf>
    <xf numFmtId="0" fontId="18" fillId="24" borderId="0" xfId="59" applyFont="1" applyFill="1" applyAlignment="1">
      <alignment horizontal="left" wrapText="1"/>
    </xf>
    <xf numFmtId="42" fontId="28" fillId="29" borderId="68" xfId="59" applyNumberFormat="1" applyFont="1" applyFill="1" applyBorder="1" applyAlignment="1" applyProtection="1">
      <alignment horizontal="right"/>
      <protection locked="0"/>
    </xf>
    <xf numFmtId="9" fontId="28" fillId="0" borderId="0" xfId="65" applyFont="1" applyFill="1" applyBorder="1" applyAlignment="1" applyProtection="1">
      <alignment horizontal="right"/>
    </xf>
    <xf numFmtId="0" fontId="28" fillId="24" borderId="0" xfId="59" applyFont="1" applyFill="1" applyAlignment="1">
      <alignment horizontal="left"/>
    </xf>
    <xf numFmtId="0" fontId="7" fillId="0" borderId="0" xfId="59" applyFont="1"/>
    <xf numFmtId="0" fontId="7" fillId="0" borderId="10" xfId="59" applyFont="1" applyBorder="1"/>
    <xf numFmtId="0" fontId="1" fillId="0" borderId="10" xfId="59" applyBorder="1"/>
    <xf numFmtId="44" fontId="28" fillId="0" borderId="10" xfId="59" applyNumberFormat="1" applyFont="1" applyBorder="1" applyAlignment="1">
      <alignment horizontal="left"/>
    </xf>
    <xf numFmtId="9" fontId="28" fillId="0" borderId="10" xfId="65" applyFont="1" applyFill="1" applyBorder="1" applyAlignment="1" applyProtection="1">
      <alignment horizontal="right"/>
    </xf>
    <xf numFmtId="0" fontId="15" fillId="24" borderId="0" xfId="59" applyFont="1" applyFill="1" applyAlignment="1">
      <alignment horizontal="center" shrinkToFit="1"/>
    </xf>
    <xf numFmtId="0" fontId="61" fillId="0" borderId="0" xfId="59" applyFont="1"/>
    <xf numFmtId="0" fontId="7" fillId="24" borderId="0" xfId="59" applyFont="1" applyFill="1" applyAlignment="1">
      <alignment horizontal="left" vertical="center" wrapText="1"/>
    </xf>
    <xf numFmtId="0" fontId="1" fillId="25" borderId="180" xfId="59" applyFill="1" applyBorder="1" applyAlignment="1" applyProtection="1">
      <alignment horizontal="left"/>
      <protection locked="0"/>
    </xf>
    <xf numFmtId="0" fontId="1" fillId="25" borderId="181" xfId="59" applyFill="1" applyBorder="1" applyAlignment="1" applyProtection="1">
      <alignment horizontal="left"/>
      <protection locked="0"/>
    </xf>
    <xf numFmtId="0" fontId="1" fillId="25" borderId="182" xfId="59" applyFill="1" applyBorder="1" applyAlignment="1" applyProtection="1">
      <alignment horizontal="left"/>
      <protection locked="0"/>
    </xf>
    <xf numFmtId="0" fontId="17" fillId="24" borderId="0" xfId="59" applyFont="1" applyFill="1" applyAlignment="1">
      <alignment horizontal="center"/>
    </xf>
    <xf numFmtId="0" fontId="15" fillId="25" borderId="180" xfId="59" applyFont="1" applyFill="1" applyBorder="1" applyAlignment="1" applyProtection="1">
      <alignment horizontal="left"/>
      <protection locked="0"/>
    </xf>
    <xf numFmtId="0" fontId="15" fillId="25" borderId="181" xfId="59" applyFont="1" applyFill="1" applyBorder="1" applyAlignment="1" applyProtection="1">
      <alignment horizontal="left"/>
      <protection locked="0"/>
    </xf>
    <xf numFmtId="0" fontId="15" fillId="25" borderId="182" xfId="59" applyFont="1" applyFill="1" applyBorder="1" applyAlignment="1" applyProtection="1">
      <alignment horizontal="left"/>
      <protection locked="0"/>
    </xf>
    <xf numFmtId="0" fontId="1" fillId="30" borderId="67" xfId="59" applyFill="1" applyBorder="1" applyAlignment="1">
      <alignment horizontal="left" vertical="center" wrapText="1" indent="1"/>
    </xf>
    <xf numFmtId="0" fontId="1" fillId="30" borderId="65" xfId="59" applyFill="1" applyBorder="1" applyAlignment="1">
      <alignment horizontal="left" vertical="center" wrapText="1" indent="1"/>
    </xf>
    <xf numFmtId="0" fontId="1" fillId="30" borderId="66" xfId="59" applyFill="1" applyBorder="1" applyAlignment="1">
      <alignment horizontal="left" vertical="center" wrapText="1" indent="1"/>
    </xf>
    <xf numFmtId="0" fontId="1" fillId="30" borderId="58" xfId="59" applyFill="1" applyBorder="1" applyAlignment="1">
      <alignment horizontal="left" vertical="center" wrapText="1" indent="1"/>
    </xf>
    <xf numFmtId="0" fontId="1" fillId="30" borderId="0" xfId="59" applyFill="1" applyAlignment="1">
      <alignment horizontal="left" vertical="center" wrapText="1" indent="1"/>
    </xf>
    <xf numFmtId="0" fontId="1" fillId="30" borderId="59" xfId="59" applyFill="1" applyBorder="1" applyAlignment="1">
      <alignment horizontal="left" vertical="center" wrapText="1" indent="1"/>
    </xf>
    <xf numFmtId="0" fontId="1" fillId="30" borderId="60" xfId="59" applyFill="1" applyBorder="1" applyAlignment="1">
      <alignment horizontal="left" vertical="center" wrapText="1" indent="1"/>
    </xf>
    <xf numFmtId="0" fontId="1" fillId="30" borderId="10" xfId="59" applyFill="1" applyBorder="1" applyAlignment="1">
      <alignment horizontal="left" vertical="center" wrapText="1" indent="1"/>
    </xf>
    <xf numFmtId="0" fontId="1" fillId="30" borderId="61" xfId="59" applyFill="1" applyBorder="1" applyAlignment="1">
      <alignment horizontal="left" vertical="center" wrapText="1" indent="1"/>
    </xf>
    <xf numFmtId="0" fontId="28" fillId="0" borderId="0" xfId="59" applyFont="1" applyAlignment="1">
      <alignment horizontal="center" vertical="center"/>
    </xf>
    <xf numFmtId="0" fontId="18" fillId="24" borderId="0" xfId="59" applyFont="1" applyFill="1" applyAlignment="1">
      <alignment horizontal="left" wrapText="1"/>
    </xf>
    <xf numFmtId="0" fontId="18" fillId="24" borderId="10" xfId="59" applyFont="1" applyFill="1" applyBorder="1" applyAlignment="1">
      <alignment horizontal="left" wrapText="1"/>
    </xf>
    <xf numFmtId="0" fontId="1" fillId="29" borderId="180" xfId="59" applyFill="1" applyBorder="1" applyProtection="1">
      <protection locked="0"/>
    </xf>
    <xf numFmtId="0" fontId="1" fillId="29" borderId="181" xfId="59" applyFill="1" applyBorder="1" applyProtection="1">
      <protection locked="0"/>
    </xf>
    <xf numFmtId="0" fontId="1" fillId="29" borderId="182" xfId="59" applyFill="1" applyBorder="1" applyProtection="1">
      <protection locked="0"/>
    </xf>
    <xf numFmtId="0" fontId="1" fillId="29" borderId="180" xfId="73" applyBorder="1" applyProtection="1">
      <protection locked="0"/>
    </xf>
    <xf numFmtId="0" fontId="1" fillId="29" borderId="181" xfId="73" applyBorder="1" applyProtection="1">
      <protection locked="0"/>
    </xf>
    <xf numFmtId="0" fontId="1" fillId="29" borderId="182" xfId="73" applyBorder="1" applyProtection="1">
      <protection locked="0"/>
    </xf>
    <xf numFmtId="0" fontId="1" fillId="24" borderId="180" xfId="59" applyFill="1" applyBorder="1" applyAlignment="1">
      <alignment horizontal="center"/>
    </xf>
    <xf numFmtId="0" fontId="1" fillId="24" borderId="182" xfId="59" applyFill="1" applyBorder="1" applyAlignment="1">
      <alignment horizontal="center"/>
    </xf>
    <xf numFmtId="9" fontId="28" fillId="35" borderId="203" xfId="65" applyFont="1" applyFill="1" applyBorder="1" applyAlignment="1" applyProtection="1">
      <alignment horizontal="right"/>
    </xf>
    <xf numFmtId="9" fontId="28" fillId="35" borderId="111" xfId="65" applyFont="1" applyFill="1" applyBorder="1" applyAlignment="1" applyProtection="1">
      <alignment horizontal="right"/>
    </xf>
    <xf numFmtId="9" fontId="28" fillId="35" borderId="204" xfId="65" applyFont="1" applyFill="1" applyBorder="1" applyAlignment="1" applyProtection="1">
      <alignment horizontal="right"/>
    </xf>
    <xf numFmtId="168" fontId="28" fillId="35" borderId="203" xfId="59" applyNumberFormat="1" applyFont="1" applyFill="1" applyBorder="1" applyAlignment="1">
      <alignment horizontal="center"/>
    </xf>
    <xf numFmtId="168" fontId="28" fillId="35" borderId="111" xfId="59" applyNumberFormat="1" applyFont="1" applyFill="1" applyBorder="1" applyAlignment="1">
      <alignment horizontal="center"/>
    </xf>
    <xf numFmtId="168" fontId="28" fillId="35" borderId="204" xfId="59" applyNumberFormat="1" applyFont="1" applyFill="1" applyBorder="1" applyAlignment="1">
      <alignment horizontal="center"/>
    </xf>
    <xf numFmtId="0" fontId="7" fillId="24" borderId="0" xfId="59" applyFont="1" applyFill="1" applyAlignment="1">
      <alignment horizontal="left" wrapText="1"/>
    </xf>
    <xf numFmtId="37" fontId="28" fillId="25" borderId="180" xfId="59" applyNumberFormat="1" applyFont="1" applyFill="1" applyBorder="1" applyAlignment="1" applyProtection="1">
      <alignment horizontal="left"/>
      <protection locked="0"/>
    </xf>
    <xf numFmtId="37" fontId="28" fillId="25" borderId="181" xfId="59" applyNumberFormat="1" applyFont="1" applyFill="1" applyBorder="1" applyAlignment="1" applyProtection="1">
      <alignment horizontal="left"/>
      <protection locked="0"/>
    </xf>
    <xf numFmtId="37" fontId="28" fillId="25" borderId="182" xfId="59" applyNumberFormat="1" applyFont="1" applyFill="1" applyBorder="1" applyAlignment="1" applyProtection="1">
      <alignment horizontal="left"/>
      <protection locked="0"/>
    </xf>
    <xf numFmtId="0" fontId="7" fillId="24" borderId="0" xfId="59" applyFont="1" applyFill="1" applyAlignment="1">
      <alignment wrapText="1"/>
    </xf>
    <xf numFmtId="0" fontId="59" fillId="29" borderId="180" xfId="59" applyFont="1" applyFill="1" applyBorder="1" applyAlignment="1" applyProtection="1">
      <alignment horizontal="left"/>
      <protection locked="0"/>
    </xf>
    <xf numFmtId="0" fontId="59" fillId="29" borderId="181" xfId="59" applyFont="1" applyFill="1" applyBorder="1" applyAlignment="1" applyProtection="1">
      <alignment horizontal="left"/>
      <protection locked="0"/>
    </xf>
    <xf numFmtId="0" fontId="59" fillId="29" borderId="182" xfId="59" applyFont="1" applyFill="1" applyBorder="1" applyAlignment="1" applyProtection="1">
      <alignment horizontal="left"/>
      <protection locked="0"/>
    </xf>
    <xf numFmtId="0" fontId="7" fillId="24" borderId="0" xfId="59" applyFont="1" applyFill="1" applyAlignment="1">
      <alignment vertical="top" wrapText="1"/>
    </xf>
    <xf numFmtId="0" fontId="2" fillId="24" borderId="196" xfId="59" applyFont="1" applyFill="1" applyBorder="1" applyAlignment="1">
      <alignment horizontal="right"/>
    </xf>
    <xf numFmtId="37" fontId="28" fillId="35" borderId="203" xfId="59" applyNumberFormat="1" applyFont="1" applyFill="1" applyBorder="1" applyAlignment="1">
      <alignment horizontal="right"/>
    </xf>
    <xf numFmtId="37" fontId="28" fillId="35" borderId="111" xfId="59" applyNumberFormat="1" applyFont="1" applyFill="1" applyBorder="1" applyAlignment="1">
      <alignment horizontal="right"/>
    </xf>
    <xf numFmtId="37" fontId="28" fillId="35" borderId="204" xfId="59" applyNumberFormat="1" applyFont="1" applyFill="1" applyBorder="1" applyAlignment="1">
      <alignment horizontal="right"/>
    </xf>
    <xf numFmtId="37" fontId="28" fillId="25" borderId="197" xfId="59" applyNumberFormat="1" applyFont="1" applyFill="1" applyBorder="1" applyAlignment="1" applyProtection="1">
      <alignment horizontal="left" vertical="top" wrapText="1"/>
      <protection locked="0"/>
    </xf>
    <xf numFmtId="37" fontId="28" fillId="25" borderId="198" xfId="59" applyNumberFormat="1" applyFont="1" applyFill="1" applyBorder="1" applyAlignment="1" applyProtection="1">
      <alignment horizontal="left" vertical="top" wrapText="1"/>
      <protection locked="0"/>
    </xf>
    <xf numFmtId="37" fontId="28" fillId="25" borderId="199" xfId="59" applyNumberFormat="1" applyFont="1" applyFill="1" applyBorder="1" applyAlignment="1" applyProtection="1">
      <alignment horizontal="left" vertical="top" wrapText="1"/>
      <protection locked="0"/>
    </xf>
    <xf numFmtId="37" fontId="28" fillId="25" borderId="200" xfId="59" applyNumberFormat="1" applyFont="1" applyFill="1" applyBorder="1" applyAlignment="1" applyProtection="1">
      <alignment horizontal="left" vertical="top" wrapText="1"/>
      <protection locked="0"/>
    </xf>
    <xf numFmtId="37" fontId="28" fillId="25" borderId="201" xfId="59" applyNumberFormat="1" applyFont="1" applyFill="1" applyBorder="1" applyAlignment="1" applyProtection="1">
      <alignment horizontal="left" vertical="top" wrapText="1"/>
      <protection locked="0"/>
    </xf>
    <xf numFmtId="37" fontId="28" fillId="25" borderId="202" xfId="59" applyNumberFormat="1" applyFont="1" applyFill="1" applyBorder="1" applyAlignment="1" applyProtection="1">
      <alignment horizontal="left" vertical="top" wrapText="1"/>
      <protection locked="0"/>
    </xf>
    <xf numFmtId="0" fontId="7" fillId="24" borderId="0" xfId="59" applyFont="1" applyFill="1" applyAlignment="1">
      <alignment horizontal="left" vertical="top" wrapText="1"/>
    </xf>
    <xf numFmtId="0" fontId="7" fillId="28" borderId="0" xfId="59" applyFont="1" applyFill="1"/>
    <xf numFmtId="44" fontId="1" fillId="25" borderId="180" xfId="59" applyNumberFormat="1" applyFill="1" applyBorder="1" applyAlignment="1" applyProtection="1">
      <alignment horizontal="left"/>
      <protection locked="0"/>
    </xf>
    <xf numFmtId="44" fontId="1" fillId="25" borderId="181" xfId="59" applyNumberFormat="1" applyFill="1" applyBorder="1" applyAlignment="1" applyProtection="1">
      <alignment horizontal="left"/>
      <protection locked="0"/>
    </xf>
    <xf numFmtId="44" fontId="1" fillId="25" borderId="182" xfId="59" applyNumberFormat="1" applyFill="1" applyBorder="1" applyAlignment="1" applyProtection="1">
      <alignment horizontal="left"/>
      <protection locked="0"/>
    </xf>
    <xf numFmtId="0" fontId="28" fillId="25" borderId="180" xfId="59" applyFont="1" applyFill="1" applyBorder="1" applyAlignment="1" applyProtection="1">
      <alignment horizontal="right"/>
      <protection locked="0"/>
    </xf>
    <xf numFmtId="0" fontId="28" fillId="25" borderId="181" xfId="59" applyFont="1" applyFill="1" applyBorder="1" applyAlignment="1" applyProtection="1">
      <alignment horizontal="right"/>
      <protection locked="0"/>
    </xf>
    <xf numFmtId="0" fontId="28" fillId="25" borderId="182" xfId="59" applyFont="1" applyFill="1" applyBorder="1" applyAlignment="1" applyProtection="1">
      <alignment horizontal="right"/>
      <protection locked="0"/>
    </xf>
    <xf numFmtId="44" fontId="1" fillId="29" borderId="180" xfId="59" applyNumberFormat="1" applyFill="1" applyBorder="1" applyAlignment="1" applyProtection="1">
      <alignment horizontal="left"/>
      <protection locked="0"/>
    </xf>
    <xf numFmtId="44" fontId="0" fillId="0" borderId="182" xfId="0" applyNumberFormat="1" applyBorder="1" applyAlignment="1" applyProtection="1">
      <alignment horizontal="left"/>
      <protection locked="0"/>
    </xf>
    <xf numFmtId="37" fontId="28" fillId="25" borderId="197" xfId="59" applyNumberFormat="1" applyFont="1" applyFill="1" applyBorder="1" applyAlignment="1" applyProtection="1">
      <alignment horizontal="right"/>
      <protection locked="0"/>
    </xf>
    <xf numFmtId="37" fontId="28" fillId="25" borderId="198" xfId="59" applyNumberFormat="1" applyFont="1" applyFill="1" applyBorder="1" applyAlignment="1" applyProtection="1">
      <alignment horizontal="right"/>
      <protection locked="0"/>
    </xf>
    <xf numFmtId="37" fontId="28" fillId="25" borderId="199" xfId="59" applyNumberFormat="1" applyFont="1" applyFill="1" applyBorder="1" applyAlignment="1" applyProtection="1">
      <alignment horizontal="right"/>
      <protection locked="0"/>
    </xf>
    <xf numFmtId="0" fontId="10" fillId="24" borderId="0" xfId="59" applyFont="1" applyFill="1" applyAlignment="1">
      <alignment horizontal="left" vertical="top" wrapText="1"/>
    </xf>
    <xf numFmtId="0" fontId="3" fillId="0" borderId="0" xfId="38" applyAlignment="1" applyProtection="1"/>
    <xf numFmtId="0" fontId="43" fillId="0" borderId="0" xfId="38" applyFont="1" applyAlignment="1" applyProtection="1"/>
    <xf numFmtId="0" fontId="61" fillId="30" borderId="43" xfId="60" applyFont="1" applyFill="1" applyBorder="1" applyAlignment="1">
      <alignment horizontal="left" vertical="center" wrapText="1"/>
    </xf>
    <xf numFmtId="0" fontId="61" fillId="30" borderId="44" xfId="60" applyFont="1" applyFill="1" applyBorder="1" applyAlignment="1">
      <alignment horizontal="left" vertical="center" wrapText="1"/>
    </xf>
    <xf numFmtId="0" fontId="16" fillId="30" borderId="100" xfId="0" applyFont="1" applyFill="1" applyBorder="1" applyAlignment="1">
      <alignment horizontal="center" vertical="center" wrapText="1"/>
    </xf>
    <xf numFmtId="0" fontId="16" fillId="30" borderId="101" xfId="0" applyFont="1" applyFill="1" applyBorder="1" applyAlignment="1">
      <alignment horizontal="center" vertical="center" wrapText="1"/>
    </xf>
    <xf numFmtId="0" fontId="16" fillId="30" borderId="102" xfId="0" applyFont="1" applyFill="1" applyBorder="1" applyAlignment="1">
      <alignment horizontal="center" vertical="center" wrapText="1"/>
    </xf>
    <xf numFmtId="0" fontId="16" fillId="30" borderId="103" xfId="0" applyFont="1" applyFill="1" applyBorder="1" applyAlignment="1">
      <alignment horizontal="center" vertical="center" wrapText="1"/>
    </xf>
    <xf numFmtId="0" fontId="16" fillId="30" borderId="104" xfId="0" applyFont="1" applyFill="1" applyBorder="1" applyAlignment="1">
      <alignment horizontal="center" vertical="center" wrapText="1"/>
    </xf>
    <xf numFmtId="0" fontId="16" fillId="30" borderId="105" xfId="0" applyFont="1" applyFill="1" applyBorder="1" applyAlignment="1">
      <alignment horizontal="center" vertical="center" wrapText="1"/>
    </xf>
    <xf numFmtId="0" fontId="16" fillId="27" borderId="106" xfId="0" applyFont="1" applyFill="1" applyBorder="1" applyAlignment="1">
      <alignment vertical="center"/>
    </xf>
    <xf numFmtId="0" fontId="16" fillId="27" borderId="107" xfId="0" applyFont="1" applyFill="1" applyBorder="1" applyAlignment="1">
      <alignment vertical="center"/>
    </xf>
    <xf numFmtId="0" fontId="44" fillId="24" borderId="0" xfId="59" applyFont="1" applyFill="1" applyAlignment="1">
      <alignment horizontal="center"/>
    </xf>
    <xf numFmtId="0" fontId="16" fillId="30" borderId="108" xfId="0" applyFont="1" applyFill="1" applyBorder="1" applyAlignment="1">
      <alignment horizontal="center" vertical="center" wrapText="1"/>
    </xf>
    <xf numFmtId="0" fontId="16" fillId="30" borderId="109" xfId="0" applyFont="1" applyFill="1" applyBorder="1" applyAlignment="1">
      <alignment horizontal="center" vertical="center" wrapText="1"/>
    </xf>
    <xf numFmtId="0" fontId="16" fillId="30" borderId="110" xfId="0" applyFont="1" applyFill="1" applyBorder="1" applyAlignment="1">
      <alignment horizontal="center" vertical="center" wrapText="1"/>
    </xf>
    <xf numFmtId="0" fontId="54" fillId="0" borderId="62" xfId="0" applyFont="1" applyBorder="1" applyAlignment="1" applyProtection="1">
      <alignment horizontal="left" wrapText="1"/>
      <protection locked="0"/>
    </xf>
    <xf numFmtId="0" fontId="54" fillId="0" borderId="63" xfId="0" applyFont="1" applyBorder="1" applyAlignment="1" applyProtection="1">
      <alignment horizontal="left" wrapText="1"/>
      <protection locked="0"/>
    </xf>
    <xf numFmtId="0" fontId="54" fillId="0" borderId="41" xfId="0" applyFont="1" applyBorder="1" applyAlignment="1" applyProtection="1">
      <alignment horizontal="left" wrapText="1"/>
      <protection locked="0"/>
    </xf>
    <xf numFmtId="0" fontId="54" fillId="0" borderId="0" xfId="0" applyFont="1" applyAlignment="1" applyProtection="1">
      <alignment horizontal="left" wrapText="1"/>
      <protection locked="0"/>
    </xf>
    <xf numFmtId="0" fontId="54" fillId="0" borderId="0" xfId="0" applyFont="1" applyAlignment="1" applyProtection="1">
      <alignment horizontal="right"/>
      <protection locked="0"/>
    </xf>
    <xf numFmtId="0" fontId="54" fillId="0" borderId="99" xfId="0" applyFont="1" applyBorder="1" applyAlignment="1" applyProtection="1">
      <alignment horizontal="righ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42" fontId="0" fillId="0" borderId="193" xfId="0" applyNumberFormat="1" applyBorder="1" applyAlignment="1">
      <alignment wrapText="1"/>
    </xf>
    <xf numFmtId="42" fontId="0" fillId="0" borderId="194" xfId="0" applyNumberFormat="1" applyBorder="1" applyAlignment="1">
      <alignment wrapText="1"/>
    </xf>
    <xf numFmtId="42" fontId="0" fillId="0" borderId="195" xfId="0" applyNumberFormat="1" applyBorder="1" applyAlignment="1">
      <alignment wrapText="1"/>
    </xf>
    <xf numFmtId="0" fontId="0" fillId="0" borderId="0" xfId="0" applyAlignment="1" applyProtection="1">
      <alignment wrapText="1"/>
      <protection locked="0"/>
    </xf>
    <xf numFmtId="0" fontId="0" fillId="30" borderId="67" xfId="0" applyFill="1" applyBorder="1"/>
    <xf numFmtId="0" fontId="0" fillId="30" borderId="65" xfId="0" applyFill="1" applyBorder="1"/>
    <xf numFmtId="0" fontId="0" fillId="30" borderId="66" xfId="0" applyFill="1" applyBorder="1"/>
    <xf numFmtId="0" fontId="57" fillId="0" borderId="0" xfId="0" applyFont="1" applyAlignment="1">
      <alignment horizontal="center"/>
    </xf>
    <xf numFmtId="0" fontId="0" fillId="30" borderId="0" xfId="0" applyFill="1" applyAlignment="1">
      <alignment horizontal="left"/>
    </xf>
    <xf numFmtId="0" fontId="0" fillId="30" borderId="59" xfId="0" applyFill="1" applyBorder="1" applyAlignment="1">
      <alignment horizontal="left"/>
    </xf>
    <xf numFmtId="0" fontId="0" fillId="30" borderId="0" xfId="0" applyFill="1" applyAlignment="1">
      <alignment vertical="top" wrapText="1"/>
    </xf>
    <xf numFmtId="0" fontId="0" fillId="30" borderId="59" xfId="0" applyFill="1" applyBorder="1" applyAlignment="1">
      <alignment vertical="top" wrapText="1"/>
    </xf>
    <xf numFmtId="0" fontId="0" fillId="30" borderId="0" xfId="0" applyFill="1" applyAlignment="1">
      <alignment horizontal="left" vertical="top" wrapText="1"/>
    </xf>
    <xf numFmtId="0" fontId="0" fillId="30" borderId="59" xfId="0" applyFill="1" applyBorder="1" applyAlignment="1">
      <alignment horizontal="left" vertical="top" wrapText="1"/>
    </xf>
    <xf numFmtId="0" fontId="0" fillId="29" borderId="13" xfId="0" applyFill="1" applyBorder="1" applyAlignment="1" applyProtection="1">
      <alignment wrapText="1"/>
      <protection locked="0"/>
    </xf>
    <xf numFmtId="0" fontId="0" fillId="29" borderId="14" xfId="0" applyFill="1" applyBorder="1" applyAlignment="1" applyProtection="1">
      <alignment wrapText="1"/>
      <protection locked="0"/>
    </xf>
    <xf numFmtId="0" fontId="0" fillId="29" borderId="15" xfId="0" applyFill="1" applyBorder="1" applyAlignment="1" applyProtection="1">
      <alignment wrapText="1"/>
      <protection locked="0"/>
    </xf>
    <xf numFmtId="0" fontId="54" fillId="0" borderId="194" xfId="0" applyFont="1" applyBorder="1" applyProtection="1">
      <protection locked="0"/>
    </xf>
    <xf numFmtId="0" fontId="54" fillId="0" borderId="210" xfId="0" applyFont="1" applyBorder="1" applyProtection="1">
      <protection locked="0"/>
    </xf>
    <xf numFmtId="0" fontId="54" fillId="0" borderId="0" xfId="0" applyFont="1" applyProtection="1">
      <protection locked="0"/>
    </xf>
    <xf numFmtId="0" fontId="54" fillId="0" borderId="99" xfId="0" applyFont="1" applyBorder="1" applyProtection="1">
      <protection locked="0"/>
    </xf>
    <xf numFmtId="0" fontId="73" fillId="0" borderId="0" xfId="0" applyFont="1" applyAlignment="1" applyProtection="1">
      <alignment vertical="top" wrapText="1"/>
      <protection locked="0"/>
    </xf>
    <xf numFmtId="0" fontId="73" fillId="0" borderId="99" xfId="0" applyFont="1" applyBorder="1" applyAlignment="1" applyProtection="1">
      <alignment vertical="top" wrapText="1"/>
      <protection locked="0"/>
    </xf>
    <xf numFmtId="0" fontId="73" fillId="0" borderId="0" xfId="0" applyFont="1" applyAlignment="1" applyProtection="1">
      <alignment horizontal="left" vertical="top" wrapText="1"/>
      <protection locked="0"/>
    </xf>
    <xf numFmtId="0" fontId="19" fillId="0" borderId="0" xfId="0" applyFont="1" applyAlignment="1" applyProtection="1">
      <alignment vertical="top" wrapText="1"/>
      <protection locked="0"/>
    </xf>
    <xf numFmtId="42" fontId="0" fillId="0" borderId="13" xfId="0" applyNumberFormat="1" applyBorder="1" applyAlignment="1">
      <alignment wrapText="1"/>
    </xf>
    <xf numFmtId="42" fontId="0" fillId="0" borderId="14" xfId="0" applyNumberFormat="1" applyBorder="1" applyAlignment="1">
      <alignment wrapText="1"/>
    </xf>
    <xf numFmtId="42" fontId="0" fillId="0" borderId="15" xfId="0" applyNumberFormat="1" applyBorder="1" applyAlignment="1">
      <alignment wrapText="1"/>
    </xf>
    <xf numFmtId="0" fontId="69" fillId="34" borderId="0" xfId="42" applyFont="1" applyFill="1" applyAlignment="1">
      <alignment vertical="center"/>
    </xf>
    <xf numFmtId="0" fontId="71" fillId="28" borderId="0" xfId="42" applyFont="1" applyFill="1" applyAlignment="1">
      <alignment horizontal="left" vertical="center"/>
    </xf>
    <xf numFmtId="0" fontId="71" fillId="28" borderId="42" xfId="42" applyFont="1" applyFill="1" applyBorder="1" applyAlignment="1">
      <alignment horizontal="left" vertical="center"/>
    </xf>
    <xf numFmtId="44" fontId="66" fillId="28" borderId="158" xfId="42" applyNumberFormat="1" applyFont="1" applyFill="1" applyBorder="1" applyAlignment="1">
      <alignment horizontal="center" vertical="center"/>
    </xf>
    <xf numFmtId="44" fontId="66" fillId="28" borderId="159" xfId="42" applyNumberFormat="1" applyFont="1" applyFill="1" applyBorder="1" applyAlignment="1">
      <alignment horizontal="center" vertical="center"/>
    </xf>
    <xf numFmtId="44" fontId="66" fillId="28" borderId="160" xfId="42" applyNumberFormat="1" applyFont="1" applyFill="1" applyBorder="1" applyAlignment="1">
      <alignment horizontal="center" vertical="center"/>
    </xf>
    <xf numFmtId="0" fontId="10" fillId="32" borderId="106" xfId="44" applyFont="1" applyFill="1" applyBorder="1" applyAlignment="1">
      <alignment horizontal="center" vertical="center"/>
    </xf>
    <xf numFmtId="0" fontId="10" fillId="32" borderId="114" xfId="44" applyFont="1" applyFill="1" applyBorder="1" applyAlignment="1">
      <alignment horizontal="center" vertical="center"/>
    </xf>
    <xf numFmtId="44" fontId="5" fillId="29" borderId="116" xfId="44" applyNumberFormat="1" applyFont="1" applyFill="1" applyBorder="1" applyAlignment="1" applyProtection="1">
      <alignment horizontal="right" vertical="center"/>
      <protection locked="0"/>
    </xf>
    <xf numFmtId="44" fontId="5" fillId="29" borderId="117" xfId="44" applyNumberFormat="1" applyFont="1" applyFill="1" applyBorder="1" applyAlignment="1" applyProtection="1">
      <alignment horizontal="right" vertical="center"/>
      <protection locked="0"/>
    </xf>
    <xf numFmtId="44" fontId="5" fillId="29" borderId="113" xfId="44" applyNumberFormat="1" applyFont="1" applyFill="1" applyBorder="1" applyAlignment="1" applyProtection="1">
      <alignment horizontal="right" vertical="center"/>
      <protection locked="0"/>
    </xf>
    <xf numFmtId="44" fontId="5" fillId="29" borderId="81" xfId="44" applyNumberFormat="1" applyFont="1" applyFill="1" applyBorder="1" applyAlignment="1" applyProtection="1">
      <alignment horizontal="right" vertical="center"/>
      <protection locked="0"/>
    </xf>
    <xf numFmtId="44" fontId="5" fillId="29" borderId="183" xfId="44" applyNumberFormat="1" applyFont="1" applyFill="1" applyBorder="1" applyAlignment="1" applyProtection="1">
      <alignment horizontal="right" vertical="center"/>
      <protection locked="0"/>
    </xf>
    <xf numFmtId="44" fontId="5" fillId="29" borderId="184" xfId="44" applyNumberFormat="1" applyFont="1" applyFill="1" applyBorder="1" applyAlignment="1" applyProtection="1">
      <alignment horizontal="right" vertical="center"/>
      <protection locked="0"/>
    </xf>
    <xf numFmtId="0" fontId="74" fillId="28" borderId="0" xfId="44" applyFont="1" applyFill="1" applyAlignment="1">
      <alignment horizontal="left" vertical="center"/>
    </xf>
    <xf numFmtId="0" fontId="74" fillId="28" borderId="185" xfId="44" applyFont="1" applyFill="1" applyBorder="1" applyAlignment="1">
      <alignment horizontal="left" vertical="center"/>
    </xf>
    <xf numFmtId="0" fontId="74" fillId="28" borderId="186" xfId="44" applyFont="1" applyFill="1" applyBorder="1" applyAlignment="1">
      <alignment horizontal="left" vertical="center"/>
    </xf>
    <xf numFmtId="0" fontId="68" fillId="28" borderId="111" xfId="42" applyFont="1" applyFill="1" applyBorder="1" applyAlignment="1">
      <alignment vertical="center"/>
    </xf>
    <xf numFmtId="44" fontId="66" fillId="29" borderId="113" xfId="42" applyNumberFormat="1" applyFont="1" applyFill="1" applyBorder="1" applyAlignment="1" applyProtection="1">
      <alignment horizontal="right" vertical="center"/>
      <protection locked="0"/>
    </xf>
    <xf numFmtId="44" fontId="66" fillId="29" borderId="81" xfId="42" applyNumberFormat="1" applyFont="1" applyFill="1" applyBorder="1" applyAlignment="1" applyProtection="1">
      <alignment horizontal="right" vertical="center"/>
      <protection locked="0"/>
    </xf>
    <xf numFmtId="0" fontId="71" fillId="28" borderId="185" xfId="42" applyFont="1" applyFill="1" applyBorder="1" applyAlignment="1">
      <alignment horizontal="left" vertical="center"/>
    </xf>
    <xf numFmtId="0" fontId="71" fillId="28" borderId="186" xfId="42" applyFont="1" applyFill="1" applyBorder="1" applyAlignment="1">
      <alignment horizontal="left" vertical="center"/>
    </xf>
    <xf numFmtId="0" fontId="68" fillId="28" borderId="10" xfId="42" applyFont="1" applyFill="1" applyBorder="1" applyAlignment="1">
      <alignment vertical="center"/>
    </xf>
    <xf numFmtId="166" fontId="68" fillId="0" borderId="257" xfId="42" applyNumberFormat="1" applyFont="1" applyBorder="1" applyAlignment="1">
      <alignment horizontal="center" vertical="center"/>
    </xf>
    <xf numFmtId="166" fontId="68" fillId="0" borderId="255" xfId="42" applyNumberFormat="1" applyFont="1" applyBorder="1" applyAlignment="1">
      <alignment horizontal="center" vertical="center"/>
    </xf>
    <xf numFmtId="44" fontId="66" fillId="29" borderId="183" xfId="42" applyNumberFormat="1" applyFont="1" applyFill="1" applyBorder="1" applyAlignment="1" applyProtection="1">
      <alignment horizontal="right" vertical="center"/>
      <protection locked="0"/>
    </xf>
    <xf numFmtId="44" fontId="66" fillId="29" borderId="184" xfId="42" applyNumberFormat="1" applyFont="1" applyFill="1" applyBorder="1" applyAlignment="1" applyProtection="1">
      <alignment horizontal="right" vertical="center"/>
      <protection locked="0"/>
    </xf>
    <xf numFmtId="44" fontId="66" fillId="29" borderId="116" xfId="42" applyNumberFormat="1" applyFont="1" applyFill="1" applyBorder="1" applyAlignment="1" applyProtection="1">
      <alignment horizontal="right" vertical="center"/>
      <protection locked="0"/>
    </xf>
    <xf numFmtId="44" fontId="66" fillId="29" borderId="117" xfId="42" applyNumberFormat="1" applyFont="1" applyFill="1" applyBorder="1" applyAlignment="1" applyProtection="1">
      <alignment horizontal="right" vertical="center"/>
      <protection locked="0"/>
    </xf>
    <xf numFmtId="166" fontId="68" fillId="28" borderId="158" xfId="42" applyNumberFormat="1" applyFont="1" applyFill="1" applyBorder="1" applyAlignment="1">
      <alignment horizontal="center" vertical="center"/>
    </xf>
    <xf numFmtId="166" fontId="68" fillId="28" borderId="159" xfId="42" applyNumberFormat="1" applyFont="1" applyFill="1" applyBorder="1" applyAlignment="1">
      <alignment horizontal="center" vertical="center"/>
    </xf>
    <xf numFmtId="166" fontId="68" fillId="28" borderId="160" xfId="42" applyNumberFormat="1" applyFont="1" applyFill="1" applyBorder="1" applyAlignment="1">
      <alignment horizontal="center" vertical="center"/>
    </xf>
    <xf numFmtId="0" fontId="61" fillId="0" borderId="10" xfId="0" applyFont="1" applyBorder="1"/>
    <xf numFmtId="0" fontId="68" fillId="29" borderId="10" xfId="42" applyFont="1" applyFill="1" applyBorder="1" applyAlignment="1" applyProtection="1">
      <alignment vertical="center"/>
      <protection locked="0"/>
    </xf>
    <xf numFmtId="0" fontId="68" fillId="29" borderId="111" xfId="42" applyFont="1" applyFill="1" applyBorder="1" applyAlignment="1" applyProtection="1">
      <alignment vertical="center"/>
      <protection locked="0"/>
    </xf>
    <xf numFmtId="0" fontId="68" fillId="32" borderId="106" xfId="42" applyFont="1" applyFill="1" applyBorder="1" applyAlignment="1">
      <alignment horizontal="center" vertical="center"/>
    </xf>
    <xf numFmtId="0" fontId="68" fillId="32" borderId="114" xfId="42" applyFont="1" applyFill="1" applyBorder="1" applyAlignment="1">
      <alignment horizontal="center" vertical="center"/>
    </xf>
    <xf numFmtId="0" fontId="11" fillId="24" borderId="0" xfId="61" applyFont="1" applyFill="1" applyAlignment="1">
      <alignment horizontal="center"/>
    </xf>
    <xf numFmtId="0" fontId="0" fillId="0" borderId="0" xfId="0" applyAlignment="1">
      <alignment horizontal="center"/>
    </xf>
    <xf numFmtId="0" fontId="28" fillId="24" borderId="0" xfId="61" applyFont="1" applyFill="1" applyAlignment="1">
      <alignment horizontal="center"/>
    </xf>
    <xf numFmtId="0" fontId="7" fillId="30" borderId="62" xfId="43" applyFont="1" applyFill="1" applyBorder="1" applyAlignment="1">
      <alignment horizontal="center" vertical="center" wrapText="1"/>
    </xf>
    <xf numFmtId="0" fontId="7" fillId="30" borderId="43" xfId="43" applyFont="1" applyFill="1" applyBorder="1" applyAlignment="1">
      <alignment horizontal="center" vertical="center" wrapText="1"/>
    </xf>
    <xf numFmtId="0" fontId="7" fillId="30" borderId="118" xfId="43" applyFont="1" applyFill="1" applyBorder="1" applyAlignment="1">
      <alignment horizontal="center" vertical="center" wrapText="1"/>
    </xf>
    <xf numFmtId="0" fontId="7" fillId="30" borderId="119" xfId="43" applyFont="1" applyFill="1" applyBorder="1" applyAlignment="1">
      <alignment horizontal="center" vertical="center" wrapText="1"/>
    </xf>
    <xf numFmtId="0" fontId="7" fillId="30" borderId="120" xfId="43" applyFont="1" applyFill="1" applyBorder="1" applyAlignment="1">
      <alignment horizontal="center" vertical="center" wrapText="1"/>
    </xf>
    <xf numFmtId="0" fontId="7" fillId="30" borderId="72" xfId="43" applyFont="1" applyFill="1" applyBorder="1" applyAlignment="1">
      <alignment horizontal="center" vertical="center" wrapText="1"/>
    </xf>
    <xf numFmtId="0" fontId="7" fillId="30" borderId="45" xfId="43" applyFont="1" applyFill="1" applyBorder="1" applyAlignment="1">
      <alignment horizontal="center" vertical="center" wrapText="1"/>
    </xf>
    <xf numFmtId="0" fontId="10" fillId="30" borderId="103" xfId="42" applyFont="1" applyFill="1" applyBorder="1" applyAlignment="1">
      <alignment horizontal="center" vertical="center" wrapText="1"/>
    </xf>
    <xf numFmtId="0" fontId="10" fillId="30" borderId="31" xfId="42" applyFont="1" applyFill="1" applyBorder="1" applyAlignment="1">
      <alignment horizontal="center" vertical="center" wrapText="1"/>
    </xf>
    <xf numFmtId="0" fontId="56" fillId="28" borderId="51" xfId="0" applyFont="1" applyFill="1" applyBorder="1" applyAlignment="1" applyProtection="1">
      <alignment vertical="top" wrapText="1"/>
      <protection locked="0"/>
    </xf>
    <xf numFmtId="0" fontId="56" fillId="28" borderId="14" xfId="0" applyFont="1" applyFill="1" applyBorder="1" applyAlignment="1" applyProtection="1">
      <alignment vertical="top" wrapText="1"/>
      <protection locked="0"/>
    </xf>
    <xf numFmtId="0" fontId="57" fillId="28" borderId="0" xfId="0" applyFont="1" applyFill="1" applyAlignment="1">
      <alignment horizontal="center"/>
    </xf>
    <xf numFmtId="0" fontId="56" fillId="28" borderId="121" xfId="0" applyFont="1" applyFill="1" applyBorder="1" applyAlignment="1" applyProtection="1">
      <alignment vertical="top" wrapText="1"/>
      <protection locked="0"/>
    </xf>
    <xf numFmtId="0" fontId="56" fillId="28" borderId="122" xfId="0" applyFont="1" applyFill="1" applyBorder="1" applyAlignment="1" applyProtection="1">
      <alignment vertical="top" wrapText="1"/>
      <protection locked="0"/>
    </xf>
    <xf numFmtId="0" fontId="0" fillId="28" borderId="0" xfId="0" applyFill="1" applyAlignment="1">
      <alignment wrapText="1"/>
    </xf>
    <xf numFmtId="0" fontId="0" fillId="30" borderId="67" xfId="0" applyFill="1" applyBorder="1" applyAlignment="1">
      <alignment vertical="center" wrapText="1"/>
    </xf>
    <xf numFmtId="0" fontId="0" fillId="30" borderId="65" xfId="0" applyFill="1" applyBorder="1" applyAlignment="1">
      <alignment vertical="center" wrapText="1"/>
    </xf>
    <xf numFmtId="0" fontId="0" fillId="30" borderId="66" xfId="0" applyFill="1" applyBorder="1" applyAlignment="1">
      <alignment vertical="center" wrapText="1"/>
    </xf>
    <xf numFmtId="0" fontId="0" fillId="30" borderId="58" xfId="0" applyFill="1" applyBorder="1" applyAlignment="1">
      <alignment vertical="center" wrapText="1"/>
    </xf>
    <xf numFmtId="0" fontId="0" fillId="30" borderId="0" xfId="0" applyFill="1" applyAlignment="1">
      <alignment vertical="center" wrapText="1"/>
    </xf>
    <xf numFmtId="0" fontId="0" fillId="30" borderId="59" xfId="0" applyFill="1" applyBorder="1" applyAlignment="1">
      <alignment vertical="center" wrapText="1"/>
    </xf>
    <xf numFmtId="0" fontId="0" fillId="30" borderId="60" xfId="0" applyFill="1" applyBorder="1" applyAlignment="1">
      <alignment vertical="center" wrapText="1"/>
    </xf>
    <xf numFmtId="0" fontId="0" fillId="30" borderId="10" xfId="0" applyFill="1" applyBorder="1" applyAlignment="1">
      <alignment vertical="center" wrapText="1"/>
    </xf>
    <xf numFmtId="0" fontId="0" fillId="30" borderId="61" xfId="0" applyFill="1" applyBorder="1" applyAlignment="1">
      <alignment vertical="center" wrapText="1"/>
    </xf>
    <xf numFmtId="0" fontId="56" fillId="28" borderId="123" xfId="0" applyFont="1" applyFill="1" applyBorder="1" applyAlignment="1" applyProtection="1">
      <alignment vertical="top" wrapText="1"/>
      <protection locked="0"/>
    </xf>
    <xf numFmtId="0" fontId="56" fillId="28" borderId="124" xfId="0" applyFont="1" applyFill="1" applyBorder="1" applyAlignment="1" applyProtection="1">
      <alignment vertical="top" wrapText="1"/>
      <protection locked="0"/>
    </xf>
    <xf numFmtId="0" fontId="64" fillId="31" borderId="118" xfId="0" applyFont="1" applyFill="1" applyBorder="1" applyAlignment="1">
      <alignment horizontal="center" vertical="top" wrapText="1"/>
    </xf>
    <xf numFmtId="0" fontId="64" fillId="31" borderId="119" xfId="0" applyFont="1" applyFill="1" applyBorder="1" applyAlignment="1">
      <alignment horizontal="center" vertical="top" wrapText="1"/>
    </xf>
    <xf numFmtId="0" fontId="0" fillId="28" borderId="0" xfId="0" applyFill="1" applyAlignment="1">
      <alignment horizontal="left" vertical="top" wrapText="1" indent="1"/>
    </xf>
    <xf numFmtId="0" fontId="55" fillId="28" borderId="0" xfId="0" applyFont="1" applyFill="1"/>
    <xf numFmtId="0" fontId="55" fillId="28" borderId="99" xfId="0" applyFont="1" applyFill="1" applyBorder="1"/>
    <xf numFmtId="0" fontId="0" fillId="29" borderId="13"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3" xfId="0" applyFill="1" applyBorder="1" applyAlignment="1" applyProtection="1">
      <alignment horizontal="left"/>
      <protection locked="0"/>
    </xf>
    <xf numFmtId="0" fontId="0" fillId="29" borderId="14" xfId="0" applyFill="1" applyBorder="1" applyAlignment="1" applyProtection="1">
      <alignment horizontal="left"/>
      <protection locked="0"/>
    </xf>
    <xf numFmtId="0" fontId="0" fillId="29" borderId="15" xfId="0" applyFill="1" applyBorder="1" applyAlignment="1" applyProtection="1">
      <alignment horizontal="left"/>
      <protection locked="0"/>
    </xf>
    <xf numFmtId="0" fontId="0" fillId="29" borderId="14" xfId="0" applyFill="1" applyBorder="1" applyAlignment="1" applyProtection="1">
      <alignment horizontal="left" wrapText="1"/>
      <protection locked="0"/>
    </xf>
    <xf numFmtId="0" fontId="54" fillId="28" borderId="0" xfId="0" applyFont="1" applyFill="1" applyAlignment="1">
      <alignment horizontal="center"/>
    </xf>
    <xf numFmtId="0" fontId="0" fillId="29" borderId="0" xfId="0" applyFill="1" applyAlignment="1" applyProtection="1">
      <alignment wrapText="1"/>
      <protection locked="0"/>
    </xf>
    <xf numFmtId="0" fontId="0" fillId="0" borderId="10" xfId="0" applyBorder="1" applyAlignment="1" applyProtection="1">
      <alignment wrapText="1"/>
      <protection locked="0"/>
    </xf>
    <xf numFmtId="0" fontId="0" fillId="29" borderId="124" xfId="0" applyFill="1" applyBorder="1" applyAlignment="1" applyProtection="1">
      <alignment horizontal="center" wrapText="1"/>
      <protection locked="0"/>
    </xf>
    <xf numFmtId="0" fontId="55" fillId="0" borderId="0" xfId="0" applyFont="1" applyProtection="1">
      <protection locked="0"/>
    </xf>
    <xf numFmtId="0" fontId="55" fillId="0" borderId="0" xfId="0" applyFont="1" applyAlignment="1">
      <alignment horizontal="left" vertical="justify" wrapText="1"/>
    </xf>
    <xf numFmtId="1" fontId="15" fillId="35" borderId="128" xfId="59" applyNumberFormat="1" applyFont="1" applyFill="1" applyBorder="1" applyAlignment="1" applyProtection="1">
      <alignment horizontal="right"/>
    </xf>
  </cellXfs>
  <cellStyles count="7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72" builtinId="3"/>
    <cellStyle name="Currency" xfId="28" builtinId="4"/>
    <cellStyle name="Currency 2" xfId="29" xr:uid="{00000000-0005-0000-0000-00001C000000}"/>
    <cellStyle name="Currency 2 2" xfId="30" xr:uid="{00000000-0005-0000-0000-00001D000000}"/>
    <cellStyle name="Currency 3" xfId="31" xr:uid="{00000000-0005-0000-0000-00001E000000}"/>
    <cellStyle name="Dropdown" xfId="73" xr:uid="{7EB7A004-FC6C-4A66-A57F-A0C8165CB1C8}"/>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rmal 2 2" xfId="43" xr:uid="{00000000-0005-0000-0000-00002B000000}"/>
    <cellStyle name="Normal 2 2 2" xfId="44" xr:uid="{00000000-0005-0000-0000-00002C000000}"/>
    <cellStyle name="Normal 2 3" xfId="45" xr:uid="{00000000-0005-0000-0000-00002D000000}"/>
    <cellStyle name="Normal 2 3 2" xfId="46" xr:uid="{00000000-0005-0000-0000-00002E000000}"/>
    <cellStyle name="Normal 2 3 3" xfId="47" xr:uid="{00000000-0005-0000-0000-00002F000000}"/>
    <cellStyle name="Normal 2 3 3 2" xfId="48" xr:uid="{00000000-0005-0000-0000-000030000000}"/>
    <cellStyle name="Normal 2 4" xfId="49" xr:uid="{00000000-0005-0000-0000-000031000000}"/>
    <cellStyle name="Normal 3" xfId="50" xr:uid="{00000000-0005-0000-0000-000032000000}"/>
    <cellStyle name="Normal 3 2" xfId="51" xr:uid="{00000000-0005-0000-0000-000033000000}"/>
    <cellStyle name="Normal 4" xfId="52" xr:uid="{00000000-0005-0000-0000-000034000000}"/>
    <cellStyle name="Normal 4 2" xfId="53" xr:uid="{00000000-0005-0000-0000-000035000000}"/>
    <cellStyle name="Normal 4 2 2" xfId="54" xr:uid="{00000000-0005-0000-0000-000036000000}"/>
    <cellStyle name="Normal 5" xfId="55" xr:uid="{00000000-0005-0000-0000-000037000000}"/>
    <cellStyle name="Normal 5 2" xfId="56" xr:uid="{00000000-0005-0000-0000-000038000000}"/>
    <cellStyle name="Normal 5 2 2" xfId="57" xr:uid="{00000000-0005-0000-0000-000039000000}"/>
    <cellStyle name="Normal 6" xfId="58" xr:uid="{00000000-0005-0000-0000-00003A000000}"/>
    <cellStyle name="Normal_LIHTC Allocation scoring synopsis" xfId="59" xr:uid="{00000000-0005-0000-0000-00003B000000}"/>
    <cellStyle name="Normal_prelim oper pro forma" xfId="60" xr:uid="{00000000-0005-0000-0000-00003C000000}"/>
    <cellStyle name="Normal_Unit Info by Building" xfId="61" xr:uid="{00000000-0005-0000-0000-00003D000000}"/>
    <cellStyle name="Note 2" xfId="62" xr:uid="{00000000-0005-0000-0000-00003E000000}"/>
    <cellStyle name="Note 2 2" xfId="63" xr:uid="{00000000-0005-0000-0000-00003F000000}"/>
    <cellStyle name="Output 2" xfId="64" xr:uid="{00000000-0005-0000-0000-000040000000}"/>
    <cellStyle name="Percent" xfId="65" builtinId="5"/>
    <cellStyle name="Percent 2" xfId="66" xr:uid="{00000000-0005-0000-0000-000042000000}"/>
    <cellStyle name="Percent 3" xfId="67" xr:uid="{00000000-0005-0000-0000-000043000000}"/>
    <cellStyle name="Percent 3 2" xfId="68" xr:uid="{00000000-0005-0000-0000-000044000000}"/>
    <cellStyle name="Title 2" xfId="69" xr:uid="{00000000-0005-0000-0000-000045000000}"/>
    <cellStyle name="Total 2" xfId="70" xr:uid="{00000000-0005-0000-0000-000046000000}"/>
    <cellStyle name="Warning Text 2" xfId="71" xr:uid="{00000000-0005-0000-0000-000047000000}"/>
  </cellStyles>
  <dxfs count="79">
    <dxf>
      <font>
        <color theme="0"/>
      </font>
    </dxf>
    <dxf>
      <font>
        <color theme="0"/>
      </font>
    </dxf>
    <dxf>
      <font>
        <color theme="0"/>
      </font>
    </dxf>
    <dxf>
      <font>
        <color theme="0"/>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ill>
        <patternFill patternType="none">
          <bgColor auto="1"/>
        </patternFill>
      </fill>
    </dxf>
  </dxfs>
  <tableStyles count="2" defaultTableStyle="Table Style 2" defaultPivotStyle="PivotStyleLight16">
    <tableStyle name="Table Style 1" pivot="0" count="0" xr9:uid="{7C9C4A72-5961-41D3-9276-0A72136EE435}"/>
    <tableStyle name="Table Style 2" pivot="0" count="1" xr9:uid="{68B47D39-882E-4A4A-BE43-5497D471934C}">
      <tableStyleElement type="wholeTable" dxfId="78"/>
    </tableStyle>
  </tableStyles>
  <colors>
    <mruColors>
      <color rgb="FFCCFFCC"/>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xdr:rowOff>
    </xdr:from>
    <xdr:to>
      <xdr:col>13</xdr:col>
      <xdr:colOff>650875</xdr:colOff>
      <xdr:row>7</xdr:row>
      <xdr:rowOff>171450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11125" y="190502"/>
          <a:ext cx="8937625" cy="150494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LIHTC Operating</a:t>
          </a:r>
          <a:r>
            <a:rPr lang="en-US" sz="1400" b="1" i="0" u="none" strike="noStrike" baseline="0">
              <a:solidFill>
                <a:schemeClr val="dk1"/>
              </a:solidFill>
              <a:effectLst/>
              <a:latin typeface="+mn-lt"/>
              <a:ea typeface="+mn-ea"/>
              <a:cs typeface="+mn-cs"/>
            </a:rPr>
            <a:t> Pro Forma </a:t>
          </a:r>
        </a:p>
        <a:p>
          <a:r>
            <a:rPr lang="en-US" sz="1100" b="1" i="0" u="none" strike="noStrike">
              <a:solidFill>
                <a:schemeClr val="dk1"/>
              </a:solidFill>
              <a:effectLst/>
              <a:latin typeface="+mn-lt"/>
              <a:ea typeface="+mn-ea"/>
              <a:cs typeface="+mn-cs"/>
            </a:rPr>
            <a:t>Instructions:</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Complete all 15 years of the pro forma.  Cells shaded green are</a:t>
          </a:r>
          <a:r>
            <a:rPr lang="en-US" sz="1100" b="0" i="0" u="none" strike="noStrike" baseline="0">
              <a:solidFill>
                <a:schemeClr val="dk1"/>
              </a:solidFill>
              <a:effectLst/>
              <a:latin typeface="+mn-lt"/>
              <a:ea typeface="+mn-ea"/>
              <a:cs typeface="+mn-cs"/>
            </a:rPr>
            <a:t> input cells.  All others will autopopulate.</a:t>
          </a:r>
          <a:endParaRPr lang="en-US" sz="1100" b="0"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rent subsidies or operating subsidies.</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commercial space.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Only include the income set-asides commited to on the LIHTC scoring sheet, even if these are not the most restrictive.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Operating Expenses should not include the cost of services for Supportive Housing.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33</xdr:row>
      <xdr:rowOff>0</xdr:rowOff>
    </xdr:from>
    <xdr:to>
      <xdr:col>16</xdr:col>
      <xdr:colOff>304800</xdr:colOff>
      <xdr:row>34</xdr:row>
      <xdr:rowOff>114300</xdr:rowOff>
    </xdr:to>
    <xdr:sp macro="" textlink="">
      <xdr:nvSpPr>
        <xdr:cNvPr id="17409" name="avatar">
          <a:extLst>
            <a:ext uri="{FF2B5EF4-FFF2-40B4-BE49-F238E27FC236}">
              <a16:creationId xmlns:a16="http://schemas.microsoft.com/office/drawing/2014/main" id="{95BFBAFA-1BF5-4382-B464-971CE82F9770}"/>
            </a:ext>
          </a:extLst>
        </xdr:cNvPr>
        <xdr:cNvSpPr>
          <a:spLocks noChangeAspect="1" noChangeArrowheads="1"/>
        </xdr:cNvSpPr>
      </xdr:nvSpPr>
      <xdr:spPr bwMode="auto">
        <a:xfrm>
          <a:off x="9417050" y="633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BC9D07-6E42-4348-A177-784A5B3E1E82}" name="UsePeriod_Ref" displayName="UsePeriod_Ref" ref="B96:C118" totalsRowShown="0" headerRowDxfId="77" headerRowCellStyle="Normal 3">
  <tableColumns count="2">
    <tableColumn id="1" xr3:uid="{44967828-F2C8-4D87-A895-1D7BE5DECE02}" name="UsePeriodRef" dataDxfId="76" dataCellStyle="Normal_LIHTC Allocation scoring synopsis"/>
    <tableColumn id="2" xr3:uid="{54F69FC3-5B75-4A65-8E50-F3D528745F94}" name="Points" dataDxfId="75" dataCellStyle="Normal 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A7872A2-5EEE-4159-AF9F-D5CF7B728AE8}" name="Table10" displayName="Table10" ref="B251:B254" totalsRowShown="0" headerRowDxfId="49" headerRowCellStyle="Normal_LIHTC Allocation scoring synopsis">
  <tableColumns count="1">
    <tableColumn id="1" xr3:uid="{AC26CCC1-8179-4863-A616-7BA300437A08}" name="Select Location"/>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EE2D851-0354-4E27-BCDA-0BF65E1C5930}" name="jcMetroList" displayName="jcMetroList" ref="B314:B339" totalsRowShown="0" headerRowDxfId="19" dataDxfId="24" headerRowCellStyle="Normal_LIHTC Allocation scoring synopsis" dataCellStyle="Normal_LIHTC Allocation scoring synopsis">
  <sortState xmlns:xlrd2="http://schemas.microsoft.com/office/spreadsheetml/2017/richdata2" ref="B315:B339">
    <sortCondition ref="B314:B339"/>
  </sortState>
  <tableColumns count="1">
    <tableColumn id="1" xr3:uid="{581E2F58-8902-4C5D-AB09-E429B9EA0720}" name="jcMetroList" dataDxfId="23" dataCellStyle="Normal_LIHTC Allocation scoring synopsis"/>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34235FA-E510-419B-8894-E0F50B298935}" name="jcNonMetroList" displayName="jcNonMetroList" ref="B341:B366" totalsRowShown="0" headerRowDxfId="22" dataDxfId="20" headerRowCellStyle="Normal_LIHTC Allocation scoring synopsis" dataCellStyle="Normal 3">
  <sortState xmlns:xlrd2="http://schemas.microsoft.com/office/spreadsheetml/2017/richdata2" ref="B342:B365">
    <sortCondition ref="B341:B365"/>
  </sortState>
  <tableColumns count="1">
    <tableColumn id="1" xr3:uid="{9DDE9D9D-B3F3-4588-AD1D-0072D0CFD8B5}" name="jcNonMetroList" dataDxfId="21" dataCellStyle="Normal 3"/>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5A51BA1-301A-47CC-A2A8-2821FA48ADF8}" name="jcLookup" displayName="jcLookup" ref="B256:C260" totalsRowShown="0" headerRowDxfId="48" headerRowCellStyle="Normal 3">
  <tableColumns count="2">
    <tableColumn id="1" xr3:uid="{69A6C8E9-BE40-4A59-98A9-611496FFFBFA}" name="LocationList"/>
    <tableColumn id="2" xr3:uid="{051C3900-5342-403D-A842-57EE8AC97F33}" name="jcLookup" dataDxfId="47" dataCellStyle="Normal 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33D8F8-EBD5-4559-AA99-413BF61E8918}" name="jcIneligibleList" displayName="jcIneligibleList" ref="B368:B369" totalsRowShown="0" headerRowDxfId="46" dataDxfId="45" headerRowCellStyle="Normal_LIHTC Allocation scoring synopsis" dataCellStyle="Normal_LIHTC Allocation scoring synopsis">
  <tableColumns count="1">
    <tableColumn id="1" xr3:uid="{44A4CE99-4A4F-424A-ADAC-0042425BC09D}" name="jcIneligibleList" dataDxfId="44" dataCellStyle="Normal_LIHTC Allocation scoring synopsis"/>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763384F-46C3-4A42-A096-EE9952496676}" name="jcListAll" displayName="jcListAll" ref="B262:B312" totalsRowShown="0" headerRowDxfId="43" dataDxfId="42" headerRowCellStyle="Normal_LIHTC Allocation scoring synopsis" dataCellStyle="Normal 3">
  <tableColumns count="1">
    <tableColumn id="1" xr3:uid="{523EB65D-DC91-42F6-8EED-C9830608C1DF}" name="jcListAll" dataDxfId="41" dataCellStyle="Normal 3"/>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769631F-0BC3-4715-A044-B495531F56FD}" name="tdcLimitRef" displayName="tdcLimitRef" ref="C377:H382" totalsRowShown="0" headerRowDxfId="40" dataDxfId="39" headerRowCellStyle="Normal 3" dataCellStyle="Normal 3">
  <autoFilter ref="C377:H382" xr:uid="{F769631F-0BC3-4715-A044-B495531F56FD}"/>
  <tableColumns count="6">
    <tableColumn id="1" xr3:uid="{6D5D5B03-D3B1-438C-97B1-A5091D788C94}" name="Limit" dataDxfId="38" dataCellStyle="Normal 3"/>
    <tableColumn id="2" xr3:uid="{C85A5CDC-109F-4850-813B-182F299C78BF}" name="Studio" dataDxfId="37" dataCellStyle="Normal 3"/>
    <tableColumn id="3" xr3:uid="{3E9352F2-C968-4E8B-98C1-8B1782E579B6}" name="One_Bdrm" dataDxfId="36" dataCellStyle="Normal 3"/>
    <tableColumn id="4" xr3:uid="{0238EC5E-26B8-4930-AF9A-383C1CFCA73D}" name="Two_Bdrm" dataDxfId="35" dataCellStyle="Normal 3"/>
    <tableColumn id="5" xr3:uid="{2D844241-F601-49DB-839F-4FA9542BD6D4}" name="Three_Bdrm" dataDxfId="34" dataCellStyle="Normal 3"/>
    <tableColumn id="6" xr3:uid="{36D63D09-6759-4B32-B765-BC40E5D7A137}" name="Four+Bdrm" dataDxfId="33" dataCellStyle="Normal 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21744D2-9DDD-4B64-8B6F-800DC6A72C7C}" name="Table2022" displayName="Table2022" ref="C395:H400" totalsRowShown="0" headerRowDxfId="32" dataDxfId="31" headerRowCellStyle="Normal 3" dataCellStyle="Normal 3">
  <autoFilter ref="C395:H400" xr:uid="{621744D2-9DDD-4B64-8B6F-800DC6A72C7C}"/>
  <tableColumns count="6">
    <tableColumn id="1" xr3:uid="{F4C7DBFC-A2E5-40A5-B057-6B96F1C5E577}" name="Limit" dataDxfId="30" dataCellStyle="Normal 3"/>
    <tableColumn id="2" xr3:uid="{FFEB6A66-A857-48EA-B9F3-D4F5C3C482B3}" name="Studio" dataDxfId="29" dataCellStyle="Normal 3"/>
    <tableColumn id="3" xr3:uid="{AA06216D-E71A-4ED1-9E29-E3D2BA1542B5}" name="One_Bdrm" dataDxfId="28" dataCellStyle="Normal 3"/>
    <tableColumn id="4" xr3:uid="{C74C43AD-8FB0-402F-A613-1AD5326D7898}" name="Two_Bdrm" dataDxfId="27" dataCellStyle="Normal 3"/>
    <tableColumn id="5" xr3:uid="{F9F75209-D1A1-404A-8864-0E7B884351FE}" name="Three_Bdrm" dataDxfId="26" dataCellStyle="Normal 3"/>
    <tableColumn id="6" xr3:uid="{7DD76D2A-2C54-4942-9058-C74ABB349135}" name="Four+Bdrm" dataDxfId="25" dataCellStyle="Normal 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01F8B6B-F9EA-421E-A638-D163E503B5D7}" name="npSponsorRef" displayName="npSponsorRef" ref="B371:C375" totalsRowShown="0" headerRowDxfId="16" headerRowCellStyle="Normal 3">
  <tableColumns count="2">
    <tableColumn id="1" xr3:uid="{7535FAF5-11ED-4F38-93F7-93AA0C6FFD9C}" name="npSponsorRef" dataDxfId="18" dataCellStyle="Normal_LIHTC Allocation scoring synopsis"/>
    <tableColumn id="2" xr3:uid="{12A124ED-69AE-48CA-8E59-75E8D05E3FA8}" name="Points" dataDxfId="17" dataCellStyle="Normal 3"/>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A7265E-BBF4-4715-A983-29C8F4A7624B}" name="npDonationRef" displayName="npDonationRef" ref="B385:C388" totalsRowShown="0" headerRowDxfId="12" dataDxfId="13" headerRowCellStyle="Normal 3" dataCellStyle="Normal 3">
  <tableColumns count="2">
    <tableColumn id="1" xr3:uid="{38B56EAC-BD2F-4377-9340-518BFF72ADD5}" name="npDonationRef" dataDxfId="15" dataCellStyle="Normal 3"/>
    <tableColumn id="2" xr3:uid="{B82FBA2E-402F-42B7-BCCA-2C64B40109E4}" name="Points" dataDxfId="14" dataCellStyle="Normal 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683773-DEEF-4933-8E32-BD718F247353}" name="Table2" displayName="Table2" ref="B120:C123" totalsRowShown="0" headerRowDxfId="74" headerRowCellStyle="Normal 3">
  <tableColumns count="2">
    <tableColumn id="1" xr3:uid="{CE79795B-F829-48AF-B969-86B6C5E499A1}" name="Selected Value" dataDxfId="73" dataCellStyle="Normal_LIHTC Allocation scoring synopsis"/>
    <tableColumn id="2" xr3:uid="{396B2648-CC71-4A9A-84B8-F3B440AF730F}" name="Points" dataDxfId="72" dataCellStyle="Normal 3"/>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6849C85-9D7E-43F4-BDF8-E19C9804E953}" name="etoRef" displayName="etoRef" ref="B403:C405" totalsRowShown="0" headerRowDxfId="8" dataDxfId="9" headerRowCellStyle="Normal 3" dataCellStyle="Normal 3">
  <tableColumns count="2">
    <tableColumn id="1" xr3:uid="{606E407B-D92A-4C30-9E18-952823239FFB}" name="etoRef" dataDxfId="11" dataCellStyle="Normal 3"/>
    <tableColumn id="2" xr3:uid="{AD5BDFEC-D033-4EC3-85C4-86E69F9D5003}" name="Points" dataDxfId="10" dataCellStyle="Normal 3"/>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1ADC1F1-24B0-4382-8E52-24CF99408FD6}" name="energyEfficiencyRef" displayName="energyEfficiencyRef" ref="B391:C393" totalsRowShown="0" headerRowDxfId="4" dataDxfId="5" headerRowCellStyle="Normal 3" dataCellStyle="Normal 3">
  <tableColumns count="2">
    <tableColumn id="1" xr3:uid="{5D898B87-5CCA-42AB-9C0A-AD942B88EEDF}" name="energyEfficiencyRef" dataDxfId="7" dataCellStyle="Normal 3"/>
    <tableColumn id="2" xr3:uid="{916A8672-37BB-49A1-9D7C-46782421E2EF}" name="Points" dataDxfId="6" dataCellStyle="Normal 3"/>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D6378D8-D1AA-40AD-BECD-6388C794AB71}" name="LIH_SetAsideLookup" displayName="LIH_SetAsideLookup" ref="B1:C41" totalsRowShown="0">
  <tableColumns count="2">
    <tableColumn id="1" xr3:uid="{2004B84C-2D6F-4FA6-B2C9-6FFA177A1A71}" name="CountyList"/>
    <tableColumn id="2" xr3:uid="{D7F4FB6A-FAC8-463F-98DD-5074D5602271}" name="SetAsideLookup"/>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B4347C7-E656-41B2-99B0-1E32D70A7626}" name="L_IncomeList" displayName="L_IncomeList" ref="B63:B81" totalsRowShown="0">
  <tableColumns count="1">
    <tableColumn id="1" xr3:uid="{0358BC9F-DCA0-4C7A-BBCD-E942E8A6CEF3}" name="L_IncomeList"/>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4F796B4-4E07-4902-8D46-AE0DA2792BE0}" name="H_IncomeList" displayName="H_IncomeList" ref="B43:B61" totalsRowShown="0">
  <tableColumns count="1">
    <tableColumn id="1" xr3:uid="{C70A6AFA-0907-4454-B00F-0DA8A89688FA}" name="H_IncomeList"/>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795AB13-8F52-41D6-BA02-15564EF4FB32}" name="IncomeList" displayName="IncomeList" ref="B83:C119" totalsRowShown="0">
  <autoFilter ref="B83:C119" xr:uid="{C795AB13-8F52-41D6-BA02-15564EF4FB32}"/>
  <tableColumns count="2">
    <tableColumn id="1" xr3:uid="{566D244D-1BA0-4BDF-99F4-3C02ACC3D82E}" name="Income List"/>
    <tableColumn id="2" xr3:uid="{5FF5B210-B092-4569-99E9-2A26942108B5}" name="Points"/>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9305DD-5875-48DA-BCFA-CA49A170C7A3}" name="Table3" displayName="Table3" ref="B126:C128" totalsRowShown="0" headerRowDxfId="71" headerRowCellStyle="Normal 3">
  <tableColumns count="2">
    <tableColumn id="1" xr3:uid="{2491308F-3FB1-4EE5-BFDD-DF65CFD68B5F}" name="Selected Value" dataDxfId="70" dataCellStyle="Normal_LIHTC Allocation scoring synopsis"/>
    <tableColumn id="2" xr3:uid="{5190AC0A-8622-4B2C-93FB-158914B68BE1}" name="Points" dataDxfId="69" dataCellStyle="Normal 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C19391-0F7E-4C19-A710-4558499518BD}" name="Table4" displayName="Table4" ref="B131:C139" totalsRowShown="0" headerRowDxfId="68" headerRowCellStyle="Normal 3">
  <tableColumns count="2">
    <tableColumn id="1" xr3:uid="{54608B1A-93F7-42DF-BD72-220A75DC4CD1}" name="Selected Value" dataDxfId="67" dataCellStyle="Normal_LIHTC Allocation scoring synopsis"/>
    <tableColumn id="2" xr3:uid="{CCB4AA33-A351-4D29-B06B-10A09DDC3FA4}" name="Points" dataDxfId="66" dataCellStyle="Normal 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B031C8-50F1-4403-9D39-73E7A1989CEC}" name="leveragingPointsRef" displayName="leveragingPointsRef" ref="B151:C164" totalsRowShown="0" headerRowDxfId="65" headerRowCellStyle="Normal 3">
  <tableColumns count="2">
    <tableColumn id="1" xr3:uid="{C5250A04-D6EB-49CE-8448-3EBE279B2253}" name="Selected Value" dataDxfId="64" dataCellStyle="Normal_LIHTC Allocation scoring synopsis"/>
    <tableColumn id="2" xr3:uid="{CC994703-4C2A-43BA-B6C7-6477E077FBF0}" name="Points" dataDxfId="63" dataCellStyle="Normal 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F74AEF-090F-4128-90E6-1D52AC9775DE}" name="devFeeRef" displayName="devFeeRef" ref="B193:C200" totalsRowShown="0" headerRowDxfId="62" headerRowCellStyle="Normal 3">
  <tableColumns count="2">
    <tableColumn id="1" xr3:uid="{254D6489-5887-444D-8068-829C4C6BED16}" name="Selected Value" dataDxfId="61" dataCellStyle="Normal_LIHTC Allocation scoring synopsis"/>
    <tableColumn id="2" xr3:uid="{D4426600-E81A-4AA5-8373-B39C7C4C16E9}" name="Points" dataDxfId="60" dataCellStyle="Normal 3"/>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61913C6-9B29-43A9-9011-E4FA15E8F98E}" name="elegibleTribesRef" displayName="elegibleTribesRef" ref="B213:C229" totalsRowShown="0" headerRowDxfId="59" headerRowCellStyle="Normal 3">
  <tableColumns count="2">
    <tableColumn id="1" xr3:uid="{06F09A6E-BF70-44AF-8705-82ED4D2D8054}" name="Selected Value" dataDxfId="58" dataCellStyle="Normal_LIHTC Allocation scoring synopsis"/>
    <tableColumn id="2" xr3:uid="{69F5B2A0-2BD3-4428-AC6C-00DCAF03CF61}" name="Points" dataDxfId="57" dataCellStyle="Normal 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73AEC24-FA0D-4B3A-98D2-C70C484DAAAB}" name="locationEffRef" displayName="locationEffRef" ref="B232:C236" totalsRowShown="0" headerRowDxfId="56" headerRowCellStyle="Normal 3">
  <tableColumns count="2">
    <tableColumn id="1" xr3:uid="{E99378E5-F7D5-49C6-9CB2-33044C486FDB}" name="Selected Value" dataDxfId="55" dataCellStyle="Normal_LIHTC Allocation scoring synopsis"/>
    <tableColumn id="2" xr3:uid="{2436DFB5-C360-4889-8BDB-134C45E65E7B}" name="Points" dataDxfId="54" dataCellStyle="Normal 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382352-8A40-4D1D-8EA2-A4D8754A74CE}" name="areaTargetedRef" displayName="areaTargetedRef" ref="B141:D149" totalsRowShown="0" headerRowDxfId="53" headerRowCellStyle="Normal 3">
  <tableColumns count="3">
    <tableColumn id="1" xr3:uid="{49DEDCCF-CE06-4741-BAD7-57754703DE22}" name="Selected Value" dataDxfId="52" dataCellStyle="Normal_LIHTC Allocation scoring synopsis"/>
    <tableColumn id="2" xr3:uid="{6F2CB01A-09C0-4FA8-92BA-66403021860B}" name="Area Targeted by Local Jurisdiction Points" dataDxfId="51" dataCellStyle="Normal 3"/>
    <tableColumn id="3" xr3:uid="{24431512-4EA9-4586-A7E0-F378F19CB6F1}" name="CRP Points" dataDxfId="50" dataCellStyle="Normal 3"/>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table" Target="../tables/table22.xml"/><Relationship Id="rId4" Type="http://schemas.openxmlformats.org/officeDocument/2006/relationships/table" Target="../tables/table2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wshfc.org/Managers/Map.aspx" TargetMode="Externa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62F2F-BAFF-4A5C-95B0-13820D185862}">
  <dimension ref="A1:L2"/>
  <sheetViews>
    <sheetView workbookViewId="0">
      <selection activeCell="C18" sqref="C18"/>
    </sheetView>
  </sheetViews>
  <sheetFormatPr defaultRowHeight="14.5" x14ac:dyDescent="0.35"/>
  <cols>
    <col min="2" max="2" width="22.7265625" bestFit="1" customWidth="1"/>
    <col min="3" max="5" width="23.7265625" bestFit="1" customWidth="1"/>
    <col min="6" max="6" width="27.54296875" bestFit="1" customWidth="1"/>
    <col min="7" max="10" width="35.7265625" bestFit="1" customWidth="1"/>
    <col min="11" max="11" width="36.7265625" bestFit="1" customWidth="1"/>
    <col min="12" max="12" width="29" bestFit="1" customWidth="1"/>
  </cols>
  <sheetData>
    <row r="1" spans="1:12" x14ac:dyDescent="0.35">
      <c r="A1" t="s">
        <v>796</v>
      </c>
      <c r="B1" t="s">
        <v>785</v>
      </c>
      <c r="C1" t="s">
        <v>786</v>
      </c>
      <c r="D1" t="s">
        <v>787</v>
      </c>
      <c r="E1" t="s">
        <v>788</v>
      </c>
      <c r="F1" t="s">
        <v>789</v>
      </c>
      <c r="G1" t="s">
        <v>790</v>
      </c>
      <c r="H1" t="s">
        <v>791</v>
      </c>
      <c r="I1" t="s">
        <v>792</v>
      </c>
      <c r="J1" t="s">
        <v>793</v>
      </c>
      <c r="K1" t="s">
        <v>794</v>
      </c>
      <c r="L1" t="s">
        <v>795</v>
      </c>
    </row>
    <row r="2" spans="1:12" x14ac:dyDescent="0.35">
      <c r="A2">
        <v>2026.1</v>
      </c>
      <c r="B2">
        <f>'TDC Limit'!G16</f>
        <v>100</v>
      </c>
      <c r="C2">
        <f>'TDC Limit'!H16</f>
        <v>0</v>
      </c>
      <c r="D2">
        <f>'TDC Limit'!I16</f>
        <v>0</v>
      </c>
      <c r="E2">
        <f>'TDC Limit'!L16</f>
        <v>0</v>
      </c>
      <c r="F2">
        <f>'TDC Limit'!M16</f>
        <v>0</v>
      </c>
      <c r="G2" s="60">
        <f>'TDC Limit'!G19</f>
        <v>0</v>
      </c>
      <c r="H2" s="60">
        <f>'TDC Limit'!H19</f>
        <v>0</v>
      </c>
      <c r="I2" s="60">
        <f>'TDC Limit'!I19</f>
        <v>0</v>
      </c>
      <c r="J2" s="60">
        <f>'TDC Limit'!L19</f>
        <v>0</v>
      </c>
      <c r="K2" s="60">
        <f>'TDC Limit'!M19</f>
        <v>0</v>
      </c>
      <c r="L2" t="str">
        <f>'TDC Limit'!M11</f>
        <v>Select from List</v>
      </c>
    </row>
  </sheetData>
  <sheetProtection algorithmName="SHA-512" hashValue="dpbIb8pfjs1t5RsIBhlPPFBMfAjRbxtmIB2ZAGNQ0Ypy14RMxg7hj57kFV5HzMF6VN6iUm2jzmqmpaApDBJloA==" saltValue="VoPRv+Y/0Noh8pil+o+Sc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
  <sheetViews>
    <sheetView workbookViewId="0"/>
  </sheetViews>
  <sheetFormatPr defaultRowHeight="14.5" x14ac:dyDescent="0.35"/>
  <cols>
    <col min="1" max="1" width="12.81640625" bestFit="1" customWidth="1"/>
    <col min="2" max="2" width="34.7265625" bestFit="1" customWidth="1"/>
    <col min="3" max="3" width="33.7265625" bestFit="1" customWidth="1"/>
    <col min="4" max="4" width="27.26953125" bestFit="1" customWidth="1"/>
    <col min="5" max="5" width="26.54296875" bestFit="1" customWidth="1"/>
    <col min="6" max="6" width="33.26953125" bestFit="1" customWidth="1"/>
    <col min="7" max="7" width="26.54296875" bestFit="1" customWidth="1"/>
    <col min="8" max="8" width="33.26953125" style="59" bestFit="1" customWidth="1"/>
    <col min="9" max="9" width="26.54296875" bestFit="1" customWidth="1"/>
    <col min="10" max="10" width="33.26953125" bestFit="1" customWidth="1"/>
    <col min="11" max="11" width="17.54296875" bestFit="1" customWidth="1"/>
    <col min="12" max="12" width="24.26953125" bestFit="1" customWidth="1"/>
    <col min="13" max="13" width="17.54296875" bestFit="1" customWidth="1"/>
    <col min="14" max="14" width="24.26953125" bestFit="1" customWidth="1"/>
    <col min="15" max="15" width="17.54296875" bestFit="1" customWidth="1"/>
    <col min="16" max="16" width="24.26953125" bestFit="1" customWidth="1"/>
    <col min="17" max="17" width="17.54296875" bestFit="1" customWidth="1"/>
    <col min="18" max="18" width="24.26953125" bestFit="1" customWidth="1"/>
    <col min="19" max="19" width="17.54296875" bestFit="1" customWidth="1"/>
    <col min="20" max="20" width="24.26953125" bestFit="1" customWidth="1"/>
  </cols>
  <sheetData>
    <row r="1" spans="1:20" x14ac:dyDescent="0.35">
      <c r="A1" t="s">
        <v>500</v>
      </c>
      <c r="B1" t="s">
        <v>586</v>
      </c>
      <c r="C1" t="s">
        <v>587</v>
      </c>
      <c r="D1" t="s">
        <v>588</v>
      </c>
      <c r="E1" t="s">
        <v>589</v>
      </c>
      <c r="F1" t="s">
        <v>590</v>
      </c>
      <c r="G1" t="s">
        <v>591</v>
      </c>
      <c r="H1" s="59" t="s">
        <v>592</v>
      </c>
      <c r="I1" t="s">
        <v>593</v>
      </c>
      <c r="J1" t="s">
        <v>594</v>
      </c>
      <c r="K1" t="s">
        <v>595</v>
      </c>
      <c r="L1" t="s">
        <v>596</v>
      </c>
      <c r="M1" t="s">
        <v>597</v>
      </c>
      <c r="N1" t="s">
        <v>598</v>
      </c>
      <c r="O1" t="s">
        <v>599</v>
      </c>
      <c r="P1" t="s">
        <v>600</v>
      </c>
      <c r="Q1" t="s">
        <v>601</v>
      </c>
      <c r="R1" t="s">
        <v>602</v>
      </c>
      <c r="S1" t="s">
        <v>603</v>
      </c>
      <c r="T1" t="s">
        <v>604</v>
      </c>
    </row>
    <row r="2" spans="1:20" x14ac:dyDescent="0.35">
      <c r="B2">
        <f>('LIHTC Pro Forma'!F14)*100</f>
        <v>2.5</v>
      </c>
      <c r="C2">
        <f>('LIHTC Pro Forma'!E24)*100</f>
        <v>3.5000000000000004</v>
      </c>
      <c r="D2">
        <f>('LIHTC Pro Forma'!F19)*100</f>
        <v>7.0000000000000009</v>
      </c>
      <c r="E2" s="2" t="str">
        <f>'LIHTC Pro Forma'!B56</f>
        <v>Lender 1</v>
      </c>
      <c r="F2" s="58">
        <f>'LIHTC Pro Forma'!F56</f>
        <v>0</v>
      </c>
      <c r="G2" s="2" t="str">
        <f>'LIHTC Pro Forma'!B57</f>
        <v>Lender 2</v>
      </c>
      <c r="H2" s="58">
        <f>'LIHTC Pro Forma'!F57</f>
        <v>0</v>
      </c>
      <c r="I2" s="2" t="str">
        <f>'LIHTC Pro Forma'!B58</f>
        <v>Lender 3</v>
      </c>
      <c r="J2" s="58">
        <f>'LIHTC Pro Forma'!F58</f>
        <v>0</v>
      </c>
      <c r="K2" s="2" t="str">
        <f>'LIHTC Pro Forma'!B65</f>
        <v>Lender 4</v>
      </c>
      <c r="L2" s="58">
        <f>'LIHTC Pro Forma'!F65</f>
        <v>0</v>
      </c>
      <c r="M2" s="2" t="str">
        <f>'LIHTC Pro Forma'!B66</f>
        <v>Lender 5</v>
      </c>
      <c r="N2" s="58">
        <f>'LIHTC Pro Forma'!F66</f>
        <v>0</v>
      </c>
      <c r="O2" s="2" t="str">
        <f>'LIHTC Pro Forma'!B67</f>
        <v>Lender 6</v>
      </c>
      <c r="P2" s="58">
        <f>'LIHTC Pro Forma'!F67</f>
        <v>0</v>
      </c>
      <c r="Q2" s="2" t="str">
        <f>'LIHTC Pro Forma'!B68</f>
        <v>Lender 7</v>
      </c>
      <c r="R2" s="58">
        <f>'LIHTC Pro Forma'!F68</f>
        <v>0</v>
      </c>
      <c r="S2" s="2" t="str">
        <f>'LIHTC Pro Forma'!B69</f>
        <v>Lender 8</v>
      </c>
      <c r="T2" s="58">
        <f>'LIHTC Pro Forma'!F69</f>
        <v>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6"/>
  <sheetViews>
    <sheetView topLeftCell="I1" workbookViewId="0">
      <selection activeCell="C2" sqref="C2"/>
    </sheetView>
  </sheetViews>
  <sheetFormatPr defaultColWidth="9" defaultRowHeight="14.5" x14ac:dyDescent="0.35"/>
  <cols>
    <col min="1" max="1" width="31.453125" bestFit="1" customWidth="1"/>
    <col min="2" max="2" width="15.26953125" bestFit="1" customWidth="1"/>
    <col min="3" max="4" width="12.26953125" bestFit="1" customWidth="1"/>
    <col min="5" max="5" width="24.54296875" bestFit="1" customWidth="1"/>
    <col min="6" max="6" width="24.81640625" bestFit="1" customWidth="1"/>
    <col min="7" max="7" width="12.7265625" bestFit="1" customWidth="1"/>
    <col min="8" max="8" width="19.26953125" bestFit="1" customWidth="1"/>
    <col min="9" max="9" width="15.26953125" bestFit="1" customWidth="1"/>
    <col min="10" max="10" width="22.81640625" bestFit="1" customWidth="1"/>
    <col min="11" max="11" width="15.54296875" bestFit="1" customWidth="1"/>
    <col min="12" max="12" width="13.7265625" bestFit="1" customWidth="1"/>
    <col min="13" max="14" width="24.7265625" bestFit="1" customWidth="1"/>
    <col min="15" max="15" width="21.7265625" bestFit="1" customWidth="1"/>
    <col min="16" max="16" width="17.26953125" bestFit="1" customWidth="1"/>
    <col min="17" max="17" width="18" bestFit="1" customWidth="1"/>
    <col min="18" max="18" width="16.453125" bestFit="1" customWidth="1"/>
    <col min="19" max="19" width="14.1796875" bestFit="1" customWidth="1"/>
    <col min="20" max="20" width="18.54296875" bestFit="1" customWidth="1"/>
    <col min="21" max="21" width="22.453125" bestFit="1" customWidth="1"/>
    <col min="22" max="22" width="13.26953125" bestFit="1" customWidth="1"/>
    <col min="23" max="23" width="19.26953125" bestFit="1" customWidth="1"/>
    <col min="24" max="24" width="15.81640625" bestFit="1" customWidth="1"/>
    <col min="25" max="25" width="11.81640625" bestFit="1" customWidth="1"/>
    <col min="26" max="26" width="22.26953125" bestFit="1" customWidth="1"/>
    <col min="27" max="27" width="19.54296875" bestFit="1" customWidth="1"/>
    <col min="28" max="32" width="32.453125" bestFit="1" customWidth="1"/>
    <col min="33" max="37" width="31.81640625" bestFit="1" customWidth="1"/>
  </cols>
  <sheetData>
    <row r="1" spans="1:37" x14ac:dyDescent="0.35">
      <c r="A1" t="s">
        <v>605</v>
      </c>
      <c r="B1" t="s">
        <v>606</v>
      </c>
      <c r="C1" t="s">
        <v>607</v>
      </c>
      <c r="D1" t="s">
        <v>608</v>
      </c>
      <c r="E1" t="s">
        <v>609</v>
      </c>
      <c r="F1" t="s">
        <v>610</v>
      </c>
      <c r="G1" t="s">
        <v>611</v>
      </c>
      <c r="H1" t="s">
        <v>612</v>
      </c>
      <c r="I1" t="s">
        <v>613</v>
      </c>
      <c r="J1" t="s">
        <v>614</v>
      </c>
      <c r="K1" t="s">
        <v>615</v>
      </c>
      <c r="L1" t="s">
        <v>616</v>
      </c>
      <c r="M1" t="s">
        <v>617</v>
      </c>
      <c r="N1" t="s">
        <v>618</v>
      </c>
      <c r="O1" t="s">
        <v>619</v>
      </c>
      <c r="P1" t="s">
        <v>620</v>
      </c>
      <c r="Q1" t="s">
        <v>621</v>
      </c>
      <c r="R1" t="s">
        <v>622</v>
      </c>
      <c r="S1" t="s">
        <v>623</v>
      </c>
      <c r="T1" t="s">
        <v>624</v>
      </c>
      <c r="U1" t="s">
        <v>625</v>
      </c>
      <c r="V1" t="s">
        <v>626</v>
      </c>
      <c r="W1" t="s">
        <v>627</v>
      </c>
      <c r="X1" t="s">
        <v>628</v>
      </c>
      <c r="Y1" t="s">
        <v>629</v>
      </c>
      <c r="Z1" t="s">
        <v>630</v>
      </c>
      <c r="AA1" t="s">
        <v>631</v>
      </c>
      <c r="AB1" t="s">
        <v>632</v>
      </c>
      <c r="AC1" t="s">
        <v>633</v>
      </c>
      <c r="AD1" t="s">
        <v>634</v>
      </c>
      <c r="AE1" t="s">
        <v>635</v>
      </c>
      <c r="AF1" t="s">
        <v>636</v>
      </c>
      <c r="AG1" t="s">
        <v>637</v>
      </c>
      <c r="AH1" t="s">
        <v>638</v>
      </c>
      <c r="AI1" t="s">
        <v>639</v>
      </c>
      <c r="AJ1" t="s">
        <v>640</v>
      </c>
      <c r="AK1" t="s">
        <v>641</v>
      </c>
    </row>
    <row r="2" spans="1:37" x14ac:dyDescent="0.35">
      <c r="B2" t="s">
        <v>642</v>
      </c>
      <c r="C2">
        <f>'LIHTC Pro Forma'!H15</f>
        <v>0</v>
      </c>
      <c r="D2">
        <f>'LIHTC Pro Forma'!H16</f>
        <v>0</v>
      </c>
      <c r="E2" s="60">
        <f>'LIHTC Pro Forma'!H24</f>
        <v>0</v>
      </c>
      <c r="F2" s="60">
        <f>'LIHTC Pro Forma'!H25</f>
        <v>0</v>
      </c>
      <c r="G2" s="60">
        <f>'LIHTC Pro Forma'!H26</f>
        <v>0</v>
      </c>
      <c r="H2" s="60">
        <f>'LIHTC Pro Forma'!H27</f>
        <v>0</v>
      </c>
      <c r="I2" s="60">
        <f>'LIHTC Pro Forma'!H28</f>
        <v>0</v>
      </c>
      <c r="J2" s="60">
        <f>'LIHTC Pro Forma'!H29</f>
        <v>0</v>
      </c>
      <c r="K2" s="60">
        <f>'LIHTC Pro Forma'!H30</f>
        <v>0</v>
      </c>
      <c r="L2" s="60">
        <f>'LIHTC Pro Forma'!H31</f>
        <v>0</v>
      </c>
      <c r="M2" s="60">
        <f>'LIHTC Pro Forma'!H32</f>
        <v>0</v>
      </c>
      <c r="N2" s="60">
        <f>'LIHTC Pro Forma'!H33</f>
        <v>0</v>
      </c>
      <c r="O2" s="60">
        <f>'LIHTC Pro Forma'!H34</f>
        <v>0</v>
      </c>
      <c r="P2" s="60">
        <f>'LIHTC Pro Forma'!H35</f>
        <v>0</v>
      </c>
      <c r="Q2" s="60">
        <f>'LIHTC Pro Forma'!H36</f>
        <v>0</v>
      </c>
      <c r="R2" s="60">
        <f>'LIHTC Pro Forma'!H37</f>
        <v>0</v>
      </c>
      <c r="S2" s="60">
        <f>'LIHTC Pro Forma'!H38</f>
        <v>0</v>
      </c>
      <c r="T2" s="60">
        <f>'LIHTC Pro Forma'!H39</f>
        <v>0</v>
      </c>
      <c r="U2" s="60">
        <f>'LIHTC Pro Forma'!H40</f>
        <v>0</v>
      </c>
      <c r="V2" s="60">
        <f>'LIHTC Pro Forma'!H41</f>
        <v>0</v>
      </c>
      <c r="W2" s="60">
        <f>'LIHTC Pro Forma'!H42</f>
        <v>0</v>
      </c>
      <c r="X2" s="60">
        <f>'LIHTC Pro Forma'!H43</f>
        <v>0</v>
      </c>
      <c r="Y2" s="60">
        <f>'LIHTC Pro Forma'!H44</f>
        <v>0</v>
      </c>
      <c r="Z2" s="60">
        <f>'LIHTC Pro Forma'!H47</f>
        <v>0</v>
      </c>
      <c r="AA2" s="60">
        <f>'LIHTC Pro Forma'!H48</f>
        <v>0</v>
      </c>
      <c r="AB2">
        <f>'LIHTC Pro Forma'!H56</f>
        <v>0</v>
      </c>
      <c r="AC2">
        <f>'LIHTC Pro Forma'!H57</f>
        <v>0</v>
      </c>
      <c r="AD2">
        <f>'LIHTC Pro Forma'!H58</f>
        <v>0</v>
      </c>
      <c r="AG2">
        <f>'LIHTC Pro Forma'!H65</f>
        <v>0</v>
      </c>
      <c r="AH2">
        <f>'LIHTC Pro Forma'!H66</f>
        <v>0</v>
      </c>
      <c r="AI2">
        <f>'LIHTC Pro Forma'!H67</f>
        <v>0</v>
      </c>
      <c r="AJ2">
        <f>'LIHTC Pro Forma'!H68</f>
        <v>0</v>
      </c>
      <c r="AK2">
        <f>'LIHTC Pro Forma'!H69</f>
        <v>0</v>
      </c>
    </row>
    <row r="3" spans="1:37" x14ac:dyDescent="0.35">
      <c r="B3" t="s">
        <v>643</v>
      </c>
      <c r="C3">
        <f>'LIHTC Pro Forma'!I15</f>
        <v>0</v>
      </c>
      <c r="D3">
        <f>'LIHTC Pro Forma'!I16</f>
        <v>0</v>
      </c>
      <c r="AB3">
        <f>'LIHTC Pro Forma'!I56</f>
        <v>0</v>
      </c>
      <c r="AC3">
        <f>'LIHTC Pro Forma'!I57</f>
        <v>0</v>
      </c>
      <c r="AD3">
        <f>'LIHTC Pro Forma'!I58</f>
        <v>0</v>
      </c>
      <c r="AG3">
        <f>'LIHTC Pro Forma'!I65</f>
        <v>0</v>
      </c>
      <c r="AH3">
        <f>'LIHTC Pro Forma'!I66</f>
        <v>0</v>
      </c>
      <c r="AI3">
        <f>'LIHTC Pro Forma'!I67</f>
        <v>0</v>
      </c>
      <c r="AJ3">
        <f>'LIHTC Pro Forma'!I68</f>
        <v>0</v>
      </c>
      <c r="AK3">
        <f>'LIHTC Pro Forma'!I69</f>
        <v>0</v>
      </c>
    </row>
    <row r="4" spans="1:37" x14ac:dyDescent="0.35">
      <c r="B4" t="s">
        <v>644</v>
      </c>
      <c r="C4">
        <f>'LIHTC Pro Forma'!J15</f>
        <v>0</v>
      </c>
      <c r="D4">
        <f>'LIHTC Pro Forma'!J16</f>
        <v>0</v>
      </c>
      <c r="AB4">
        <f>'LIHTC Pro Forma'!J56</f>
        <v>0</v>
      </c>
      <c r="AC4">
        <f>'LIHTC Pro Forma'!J57</f>
        <v>0</v>
      </c>
      <c r="AD4">
        <f>'LIHTC Pro Forma'!J58</f>
        <v>0</v>
      </c>
      <c r="AG4">
        <f>'LIHTC Pro Forma'!J65</f>
        <v>0</v>
      </c>
      <c r="AH4">
        <f>'LIHTC Pro Forma'!J66</f>
        <v>0</v>
      </c>
      <c r="AI4">
        <f>'LIHTC Pro Forma'!J67</f>
        <v>0</v>
      </c>
      <c r="AJ4">
        <f>'LIHTC Pro Forma'!J68</f>
        <v>0</v>
      </c>
      <c r="AK4">
        <f>'LIHTC Pro Forma'!J69</f>
        <v>0</v>
      </c>
    </row>
    <row r="5" spans="1:37" x14ac:dyDescent="0.35">
      <c r="B5" t="s">
        <v>645</v>
      </c>
      <c r="C5">
        <f>'LIHTC Pro Forma'!K15</f>
        <v>0</v>
      </c>
      <c r="D5">
        <f>'LIHTC Pro Forma'!K16</f>
        <v>0</v>
      </c>
      <c r="AB5">
        <f>'LIHTC Pro Forma'!K56</f>
        <v>0</v>
      </c>
      <c r="AC5">
        <f>'LIHTC Pro Forma'!K57</f>
        <v>0</v>
      </c>
      <c r="AD5">
        <f>'LIHTC Pro Forma'!K58</f>
        <v>0</v>
      </c>
      <c r="AG5">
        <f>'LIHTC Pro Forma'!K65</f>
        <v>0</v>
      </c>
      <c r="AH5">
        <f>'LIHTC Pro Forma'!K66</f>
        <v>0</v>
      </c>
      <c r="AI5">
        <f>'LIHTC Pro Forma'!K67</f>
        <v>0</v>
      </c>
      <c r="AJ5">
        <f>'LIHTC Pro Forma'!K68</f>
        <v>0</v>
      </c>
      <c r="AK5">
        <f>'LIHTC Pro Forma'!K69</f>
        <v>0</v>
      </c>
    </row>
    <row r="6" spans="1:37" x14ac:dyDescent="0.35">
      <c r="B6" t="s">
        <v>646</v>
      </c>
      <c r="C6">
        <f>'LIHTC Pro Forma'!L15</f>
        <v>0</v>
      </c>
      <c r="D6">
        <f>'LIHTC Pro Forma'!L16</f>
        <v>0</v>
      </c>
      <c r="AB6">
        <f>'LIHTC Pro Forma'!L56</f>
        <v>0</v>
      </c>
      <c r="AC6">
        <f>'LIHTC Pro Forma'!L57</f>
        <v>0</v>
      </c>
      <c r="AD6">
        <f>'LIHTC Pro Forma'!L58</f>
        <v>0</v>
      </c>
      <c r="AG6">
        <f>'LIHTC Pro Forma'!L65</f>
        <v>0</v>
      </c>
      <c r="AH6">
        <f>'LIHTC Pro Forma'!L66</f>
        <v>0</v>
      </c>
      <c r="AI6">
        <f>'LIHTC Pro Forma'!L67</f>
        <v>0</v>
      </c>
      <c r="AJ6">
        <f>'LIHTC Pro Forma'!L68</f>
        <v>0</v>
      </c>
      <c r="AK6">
        <f>'LIHTC Pro Forma'!L69</f>
        <v>0</v>
      </c>
    </row>
    <row r="7" spans="1:37" x14ac:dyDescent="0.35">
      <c r="B7" t="s">
        <v>647</v>
      </c>
      <c r="C7">
        <f>'LIHTC Pro Forma'!M15</f>
        <v>0</v>
      </c>
      <c r="D7">
        <f>'LIHTC Pro Forma'!M16</f>
        <v>0</v>
      </c>
      <c r="AB7">
        <f>'LIHTC Pro Forma'!M56</f>
        <v>0</v>
      </c>
      <c r="AC7">
        <f>'LIHTC Pro Forma'!M57</f>
        <v>0</v>
      </c>
      <c r="AD7">
        <f>'LIHTC Pro Forma'!M58</f>
        <v>0</v>
      </c>
      <c r="AG7">
        <f>'LIHTC Pro Forma'!M65</f>
        <v>0</v>
      </c>
      <c r="AH7">
        <f>'LIHTC Pro Forma'!M66</f>
        <v>0</v>
      </c>
      <c r="AI7">
        <f>'LIHTC Pro Forma'!M67</f>
        <v>0</v>
      </c>
      <c r="AJ7">
        <f>'LIHTC Pro Forma'!M68</f>
        <v>0</v>
      </c>
      <c r="AK7">
        <f>'LIHTC Pro Forma'!M69</f>
        <v>0</v>
      </c>
    </row>
    <row r="8" spans="1:37" x14ac:dyDescent="0.35">
      <c r="B8" t="s">
        <v>648</v>
      </c>
      <c r="C8">
        <f>'LIHTC Pro Forma'!N15</f>
        <v>0</v>
      </c>
      <c r="D8">
        <f>'LIHTC Pro Forma'!N16</f>
        <v>0</v>
      </c>
      <c r="AB8">
        <f>'LIHTC Pro Forma'!N56</f>
        <v>0</v>
      </c>
      <c r="AC8">
        <f>'LIHTC Pro Forma'!N57</f>
        <v>0</v>
      </c>
      <c r="AD8">
        <f>'LIHTC Pro Forma'!N58</f>
        <v>0</v>
      </c>
      <c r="AG8">
        <f>'LIHTC Pro Forma'!N65</f>
        <v>0</v>
      </c>
      <c r="AH8">
        <f>'LIHTC Pro Forma'!N66</f>
        <v>0</v>
      </c>
      <c r="AI8">
        <f>'LIHTC Pro Forma'!N67</f>
        <v>0</v>
      </c>
      <c r="AJ8">
        <f>'LIHTC Pro Forma'!N68</f>
        <v>0</v>
      </c>
      <c r="AK8">
        <f>'LIHTC Pro Forma'!N69</f>
        <v>0</v>
      </c>
    </row>
    <row r="9" spans="1:37" x14ac:dyDescent="0.35">
      <c r="B9" t="s">
        <v>649</v>
      </c>
      <c r="C9">
        <f>'LIHTC Pro Forma'!G81</f>
        <v>0</v>
      </c>
      <c r="D9">
        <f>'LIHTC Pro Forma'!G82</f>
        <v>0</v>
      </c>
      <c r="AB9">
        <f>'LIHTC Pro Forma'!G122</f>
        <v>0</v>
      </c>
      <c r="AC9">
        <f>'LIHTC Pro Forma'!G123</f>
        <v>0</v>
      </c>
      <c r="AD9">
        <f>'LIHTC Pro Forma'!G124</f>
        <v>0</v>
      </c>
      <c r="AG9">
        <f>'LIHTC Pro Forma'!G130</f>
        <v>0</v>
      </c>
      <c r="AH9">
        <f>'LIHTC Pro Forma'!G131</f>
        <v>0</v>
      </c>
      <c r="AI9">
        <f>'LIHTC Pro Forma'!G132</f>
        <v>0</v>
      </c>
      <c r="AJ9">
        <f>'LIHTC Pro Forma'!G133</f>
        <v>0</v>
      </c>
      <c r="AK9">
        <f>'LIHTC Pro Forma'!G134</f>
        <v>0</v>
      </c>
    </row>
    <row r="10" spans="1:37" x14ac:dyDescent="0.35">
      <c r="B10" t="s">
        <v>650</v>
      </c>
      <c r="C10">
        <f>'LIHTC Pro Forma'!H81</f>
        <v>0</v>
      </c>
      <c r="D10">
        <f>'LIHTC Pro Forma'!H82</f>
        <v>0</v>
      </c>
      <c r="AB10">
        <f>'LIHTC Pro Forma'!H122</f>
        <v>0</v>
      </c>
      <c r="AC10">
        <f>'LIHTC Pro Forma'!H123</f>
        <v>0</v>
      </c>
      <c r="AD10">
        <f>'LIHTC Pro Forma'!H124</f>
        <v>0</v>
      </c>
      <c r="AG10">
        <f>'LIHTC Pro Forma'!H130</f>
        <v>0</v>
      </c>
      <c r="AH10">
        <f>'LIHTC Pro Forma'!H131</f>
        <v>0</v>
      </c>
      <c r="AI10">
        <f>'LIHTC Pro Forma'!H132</f>
        <v>0</v>
      </c>
      <c r="AJ10">
        <f>'LIHTC Pro Forma'!H133</f>
        <v>0</v>
      </c>
      <c r="AK10">
        <f>'LIHTC Pro Forma'!H134</f>
        <v>0</v>
      </c>
    </row>
    <row r="11" spans="1:37" x14ac:dyDescent="0.35">
      <c r="B11" t="s">
        <v>577</v>
      </c>
      <c r="C11">
        <f>'LIHTC Pro Forma'!I81</f>
        <v>0</v>
      </c>
      <c r="D11">
        <f>'LIHTC Pro Forma'!I82</f>
        <v>0</v>
      </c>
      <c r="AB11">
        <f>'LIHTC Pro Forma'!I122</f>
        <v>0</v>
      </c>
      <c r="AC11">
        <f>'LIHTC Pro Forma'!I123</f>
        <v>0</v>
      </c>
      <c r="AD11">
        <f>'LIHTC Pro Forma'!I124</f>
        <v>0</v>
      </c>
      <c r="AG11">
        <f>'LIHTC Pro Forma'!I130</f>
        <v>0</v>
      </c>
      <c r="AH11">
        <f>'LIHTC Pro Forma'!I131</f>
        <v>0</v>
      </c>
      <c r="AI11">
        <f>'LIHTC Pro Forma'!I132</f>
        <v>0</v>
      </c>
      <c r="AJ11">
        <f>'LIHTC Pro Forma'!I133</f>
        <v>0</v>
      </c>
      <c r="AK11">
        <f>'LIHTC Pro Forma'!I134</f>
        <v>0</v>
      </c>
    </row>
    <row r="12" spans="1:37" x14ac:dyDescent="0.35">
      <c r="B12" t="s">
        <v>578</v>
      </c>
      <c r="C12">
        <f>'LIHTC Pro Forma'!J81</f>
        <v>0</v>
      </c>
      <c r="D12">
        <f>'LIHTC Pro Forma'!J82</f>
        <v>0</v>
      </c>
      <c r="AB12">
        <f>'LIHTC Pro Forma'!J122</f>
        <v>0</v>
      </c>
      <c r="AC12">
        <f>'LIHTC Pro Forma'!J123</f>
        <v>0</v>
      </c>
      <c r="AD12">
        <f>'LIHTC Pro Forma'!J124</f>
        <v>0</v>
      </c>
      <c r="AG12">
        <f>'LIHTC Pro Forma'!J130</f>
        <v>0</v>
      </c>
      <c r="AH12">
        <f>'LIHTC Pro Forma'!J131</f>
        <v>0</v>
      </c>
      <c r="AI12">
        <f>'LIHTC Pro Forma'!J132</f>
        <v>0</v>
      </c>
      <c r="AJ12">
        <f>'LIHTC Pro Forma'!J133</f>
        <v>0</v>
      </c>
      <c r="AK12">
        <f>'LIHTC Pro Forma'!J134</f>
        <v>0</v>
      </c>
    </row>
    <row r="13" spans="1:37" x14ac:dyDescent="0.35">
      <c r="B13" t="s">
        <v>579</v>
      </c>
      <c r="C13">
        <f>'LIHTC Pro Forma'!K81</f>
        <v>0</v>
      </c>
      <c r="D13">
        <f>'LIHTC Pro Forma'!K82</f>
        <v>0</v>
      </c>
      <c r="AB13">
        <f>'LIHTC Pro Forma'!K122</f>
        <v>0</v>
      </c>
      <c r="AC13">
        <f>'LIHTC Pro Forma'!K123</f>
        <v>0</v>
      </c>
      <c r="AD13">
        <f>'LIHTC Pro Forma'!K124</f>
        <v>0</v>
      </c>
      <c r="AG13">
        <f>'LIHTC Pro Forma'!K130</f>
        <v>0</v>
      </c>
      <c r="AH13">
        <f>'LIHTC Pro Forma'!K131</f>
        <v>0</v>
      </c>
      <c r="AI13">
        <f>'LIHTC Pro Forma'!K132</f>
        <v>0</v>
      </c>
      <c r="AJ13">
        <f>'LIHTC Pro Forma'!K133</f>
        <v>0</v>
      </c>
      <c r="AK13">
        <f>'LIHTC Pro Forma'!K134</f>
        <v>0</v>
      </c>
    </row>
    <row r="14" spans="1:37" x14ac:dyDescent="0.35">
      <c r="B14" t="s">
        <v>580</v>
      </c>
      <c r="C14">
        <f>'LIHTC Pro Forma'!L81</f>
        <v>0</v>
      </c>
      <c r="D14">
        <f>'LIHTC Pro Forma'!L82</f>
        <v>0</v>
      </c>
      <c r="AB14">
        <f>'LIHTC Pro Forma'!L122</f>
        <v>0</v>
      </c>
      <c r="AC14">
        <f>'LIHTC Pro Forma'!L123</f>
        <v>0</v>
      </c>
      <c r="AD14">
        <f>'LIHTC Pro Forma'!L124</f>
        <v>0</v>
      </c>
      <c r="AG14">
        <f>'LIHTC Pro Forma'!L130</f>
        <v>0</v>
      </c>
      <c r="AH14">
        <f>'LIHTC Pro Forma'!L131</f>
        <v>0</v>
      </c>
      <c r="AI14">
        <f>'LIHTC Pro Forma'!L132</f>
        <v>0</v>
      </c>
      <c r="AJ14">
        <f>'LIHTC Pro Forma'!L133</f>
        <v>0</v>
      </c>
      <c r="AK14">
        <f>'LIHTC Pro Forma'!L134</f>
        <v>0</v>
      </c>
    </row>
    <row r="15" spans="1:37" x14ac:dyDescent="0.35">
      <c r="B15" t="s">
        <v>581</v>
      </c>
      <c r="C15">
        <f>'LIHTC Pro Forma'!M81</f>
        <v>0</v>
      </c>
      <c r="D15">
        <f>'LIHTC Pro Forma'!M82</f>
        <v>0</v>
      </c>
      <c r="AB15">
        <f>'LIHTC Pro Forma'!M122</f>
        <v>0</v>
      </c>
      <c r="AC15">
        <f>'LIHTC Pro Forma'!M123</f>
        <v>0</v>
      </c>
      <c r="AD15">
        <f>'LIHTC Pro Forma'!M124</f>
        <v>0</v>
      </c>
      <c r="AG15">
        <f>'LIHTC Pro Forma'!M130</f>
        <v>0</v>
      </c>
      <c r="AH15">
        <f>'LIHTC Pro Forma'!M131</f>
        <v>0</v>
      </c>
      <c r="AI15">
        <f>'LIHTC Pro Forma'!M132</f>
        <v>0</v>
      </c>
      <c r="AJ15">
        <f>'LIHTC Pro Forma'!M133</f>
        <v>0</v>
      </c>
      <c r="AK15">
        <f>'LIHTC Pro Forma'!M134</f>
        <v>0</v>
      </c>
    </row>
    <row r="16" spans="1:37" x14ac:dyDescent="0.35">
      <c r="B16" t="s">
        <v>582</v>
      </c>
      <c r="C16">
        <f>'LIHTC Pro Forma'!N81</f>
        <v>0</v>
      </c>
      <c r="D16">
        <f>'LIHTC Pro Forma'!N82</f>
        <v>0</v>
      </c>
      <c r="AB16">
        <f>'LIHTC Pro Forma'!N122</f>
        <v>0</v>
      </c>
      <c r="AC16">
        <f>'LIHTC Pro Forma'!N123</f>
        <v>0</v>
      </c>
      <c r="AD16">
        <f>'LIHTC Pro Forma'!N124</f>
        <v>0</v>
      </c>
      <c r="AG16">
        <f>'LIHTC Pro Forma'!N130</f>
        <v>0</v>
      </c>
      <c r="AH16">
        <f>'LIHTC Pro Forma'!N131</f>
        <v>0</v>
      </c>
      <c r="AI16">
        <f>'LIHTC Pro Forma'!N132</f>
        <v>0</v>
      </c>
      <c r="AJ16">
        <f>'LIHTC Pro Forma'!N133</f>
        <v>0</v>
      </c>
      <c r="AK16">
        <f>'LIHTC Pro Forma'!N134</f>
        <v>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B1:L19"/>
  <sheetViews>
    <sheetView workbookViewId="0">
      <selection activeCell="J5" sqref="J5:J6"/>
    </sheetView>
  </sheetViews>
  <sheetFormatPr defaultColWidth="9.1796875" defaultRowHeight="14.5" x14ac:dyDescent="0.35"/>
  <cols>
    <col min="1" max="1" width="2.54296875" style="517" customWidth="1"/>
    <col min="2" max="2" width="32.453125" style="517" customWidth="1"/>
    <col min="3" max="3" width="12.26953125" style="517" customWidth="1"/>
    <col min="4" max="4" width="10.1796875" style="517" customWidth="1"/>
    <col min="5" max="5" width="13.1796875" style="517" customWidth="1"/>
    <col min="6" max="6" width="12" style="517" customWidth="1"/>
    <col min="7" max="7" width="10.81640625" style="517" bestFit="1" customWidth="1"/>
    <col min="8" max="8" width="12.26953125" style="517" bestFit="1" customWidth="1"/>
    <col min="9" max="9" width="13.7265625" style="517" customWidth="1"/>
    <col min="10" max="10" width="14.54296875" style="517" customWidth="1"/>
    <col min="11" max="11" width="14.26953125" style="517" customWidth="1"/>
    <col min="12" max="12" width="1.54296875" style="517" customWidth="1"/>
    <col min="13" max="13" width="2.54296875" style="517" customWidth="1"/>
    <col min="14" max="16384" width="9.1796875" style="517"/>
  </cols>
  <sheetData>
    <row r="1" spans="2:12" ht="18.5" x14ac:dyDescent="0.45">
      <c r="B1" s="760" t="s">
        <v>651</v>
      </c>
      <c r="C1" s="761"/>
      <c r="D1" s="761"/>
      <c r="E1" s="761"/>
      <c r="F1" s="761"/>
      <c r="G1" s="761"/>
      <c r="H1" s="761"/>
      <c r="I1" s="761"/>
      <c r="J1" s="761"/>
      <c r="K1" s="516"/>
      <c r="L1" s="516"/>
    </row>
    <row r="2" spans="2:12" ht="13.5" customHeight="1" x14ac:dyDescent="0.35">
      <c r="B2" s="762" t="s">
        <v>652</v>
      </c>
      <c r="C2" s="762"/>
      <c r="D2" s="762"/>
      <c r="E2" s="762"/>
      <c r="F2" s="762"/>
      <c r="G2" s="762"/>
      <c r="H2" s="762"/>
      <c r="I2" s="762"/>
      <c r="J2" s="761"/>
    </row>
    <row r="3" spans="2:12" ht="18.5" x14ac:dyDescent="0.45">
      <c r="B3" s="516"/>
      <c r="C3" s="516"/>
      <c r="D3" s="516"/>
      <c r="E3" s="516"/>
      <c r="F3" s="516"/>
      <c r="G3" s="516"/>
      <c r="H3" s="516"/>
      <c r="I3" s="516"/>
      <c r="J3" s="516"/>
      <c r="K3" s="516"/>
      <c r="L3" s="516"/>
    </row>
    <row r="4" spans="2:12" ht="15" thickBot="1" x14ac:dyDescent="0.4"/>
    <row r="5" spans="2:12" ht="15" customHeight="1" x14ac:dyDescent="0.35">
      <c r="B5" s="763" t="s">
        <v>653</v>
      </c>
      <c r="C5" s="765" t="s">
        <v>654</v>
      </c>
      <c r="D5" s="766"/>
      <c r="E5" s="767"/>
      <c r="F5" s="765" t="s">
        <v>655</v>
      </c>
      <c r="G5" s="766"/>
      <c r="H5" s="767"/>
      <c r="I5" s="768" t="s">
        <v>656</v>
      </c>
      <c r="J5" s="770" t="s">
        <v>657</v>
      </c>
    </row>
    <row r="6" spans="2:12" ht="52.5" thickBot="1" x14ac:dyDescent="0.4">
      <c r="B6" s="764"/>
      <c r="C6" s="518" t="s">
        <v>658</v>
      </c>
      <c r="D6" s="519" t="s">
        <v>659</v>
      </c>
      <c r="E6" s="520" t="s">
        <v>654</v>
      </c>
      <c r="F6" s="518" t="s">
        <v>660</v>
      </c>
      <c r="G6" s="519" t="s">
        <v>661</v>
      </c>
      <c r="H6" s="520" t="s">
        <v>655</v>
      </c>
      <c r="I6" s="769"/>
      <c r="J6" s="771"/>
    </row>
    <row r="7" spans="2:12" x14ac:dyDescent="0.35">
      <c r="B7" s="563" t="s">
        <v>662</v>
      </c>
      <c r="C7" s="560"/>
      <c r="D7" s="530"/>
      <c r="E7" s="521" t="str">
        <f>IFERROR(C7/(C7+D7),"")</f>
        <v/>
      </c>
      <c r="F7" s="533"/>
      <c r="G7" s="530"/>
      <c r="H7" s="521" t="str">
        <f>IF(F7=0,"",F7/(F7+G7))</f>
        <v/>
      </c>
      <c r="I7" s="522">
        <f t="shared" ref="I7:I19" si="0">MIN(E7,H7)</f>
        <v>0</v>
      </c>
      <c r="J7" s="538"/>
    </row>
    <row r="8" spans="2:12" x14ac:dyDescent="0.35">
      <c r="B8" s="564" t="s">
        <v>663</v>
      </c>
      <c r="C8" s="561"/>
      <c r="D8" s="531"/>
      <c r="E8" s="521" t="str">
        <f t="shared" ref="E8:E19" si="1">IFERROR(C8/(C8+D8),"")</f>
        <v/>
      </c>
      <c r="F8" s="534"/>
      <c r="G8" s="531"/>
      <c r="H8" s="521" t="str">
        <f t="shared" ref="H8:H19" si="2">IF(F8=0,"",F8/(F8+G8))</f>
        <v/>
      </c>
      <c r="I8" s="523">
        <f t="shared" si="0"/>
        <v>0</v>
      </c>
      <c r="J8" s="539" t="s">
        <v>664</v>
      </c>
    </row>
    <row r="9" spans="2:12" x14ac:dyDescent="0.35">
      <c r="B9" s="564" t="s">
        <v>665</v>
      </c>
      <c r="C9" s="561"/>
      <c r="D9" s="531"/>
      <c r="E9" s="521" t="str">
        <f t="shared" si="1"/>
        <v/>
      </c>
      <c r="F9" s="534"/>
      <c r="G9" s="531"/>
      <c r="H9" s="521" t="str">
        <f t="shared" si="2"/>
        <v/>
      </c>
      <c r="I9" s="523">
        <f t="shared" si="0"/>
        <v>0</v>
      </c>
      <c r="J9" s="539"/>
    </row>
    <row r="10" spans="2:12" x14ac:dyDescent="0.35">
      <c r="B10" s="564" t="s">
        <v>666</v>
      </c>
      <c r="C10" s="561"/>
      <c r="D10" s="531"/>
      <c r="E10" s="521" t="str">
        <f t="shared" si="1"/>
        <v/>
      </c>
      <c r="F10" s="534"/>
      <c r="G10" s="531"/>
      <c r="H10" s="521" t="str">
        <f t="shared" si="2"/>
        <v/>
      </c>
      <c r="I10" s="523">
        <f t="shared" si="0"/>
        <v>0</v>
      </c>
      <c r="J10" s="539" t="s">
        <v>664</v>
      </c>
    </row>
    <row r="11" spans="2:12" x14ac:dyDescent="0.35">
      <c r="B11" s="564" t="s">
        <v>667</v>
      </c>
      <c r="C11" s="561"/>
      <c r="D11" s="531"/>
      <c r="E11" s="521" t="str">
        <f t="shared" si="1"/>
        <v/>
      </c>
      <c r="F11" s="534"/>
      <c r="G11" s="531"/>
      <c r="H11" s="521" t="str">
        <f t="shared" si="2"/>
        <v/>
      </c>
      <c r="I11" s="523">
        <f t="shared" si="0"/>
        <v>0</v>
      </c>
      <c r="J11" s="539"/>
    </row>
    <row r="12" spans="2:12" x14ac:dyDescent="0.35">
      <c r="B12" s="564" t="s">
        <v>668</v>
      </c>
      <c r="C12" s="561"/>
      <c r="D12" s="531"/>
      <c r="E12" s="521" t="str">
        <f t="shared" si="1"/>
        <v/>
      </c>
      <c r="F12" s="534"/>
      <c r="G12" s="531"/>
      <c r="H12" s="521" t="str">
        <f t="shared" si="2"/>
        <v/>
      </c>
      <c r="I12" s="523">
        <f t="shared" si="0"/>
        <v>0</v>
      </c>
      <c r="J12" s="539"/>
    </row>
    <row r="13" spans="2:12" x14ac:dyDescent="0.35">
      <c r="B13" s="564" t="s">
        <v>669</v>
      </c>
      <c r="C13" s="561"/>
      <c r="D13" s="531"/>
      <c r="E13" s="521" t="str">
        <f t="shared" si="1"/>
        <v/>
      </c>
      <c r="F13" s="534"/>
      <c r="G13" s="531"/>
      <c r="H13" s="521" t="str">
        <f t="shared" si="2"/>
        <v/>
      </c>
      <c r="I13" s="523">
        <f t="shared" si="0"/>
        <v>0</v>
      </c>
      <c r="J13" s="539"/>
    </row>
    <row r="14" spans="2:12" x14ac:dyDescent="0.35">
      <c r="B14" s="564" t="s">
        <v>670</v>
      </c>
      <c r="C14" s="561"/>
      <c r="D14" s="531"/>
      <c r="E14" s="521" t="str">
        <f t="shared" si="1"/>
        <v/>
      </c>
      <c r="F14" s="534"/>
      <c r="G14" s="531"/>
      <c r="H14" s="521" t="str">
        <f t="shared" si="2"/>
        <v/>
      </c>
      <c r="I14" s="523">
        <f t="shared" si="0"/>
        <v>0</v>
      </c>
      <c r="J14" s="539"/>
    </row>
    <row r="15" spans="2:12" x14ac:dyDescent="0.35">
      <c r="B15" s="564" t="s">
        <v>671</v>
      </c>
      <c r="C15" s="561"/>
      <c r="D15" s="531"/>
      <c r="E15" s="521" t="str">
        <f t="shared" si="1"/>
        <v/>
      </c>
      <c r="F15" s="534"/>
      <c r="G15" s="531"/>
      <c r="H15" s="521" t="str">
        <f t="shared" si="2"/>
        <v/>
      </c>
      <c r="I15" s="523">
        <f t="shared" si="0"/>
        <v>0</v>
      </c>
      <c r="J15" s="539"/>
    </row>
    <row r="16" spans="2:12" x14ac:dyDescent="0.35">
      <c r="B16" s="564" t="s">
        <v>672</v>
      </c>
      <c r="C16" s="561"/>
      <c r="D16" s="531"/>
      <c r="E16" s="521" t="str">
        <f t="shared" si="1"/>
        <v/>
      </c>
      <c r="F16" s="534"/>
      <c r="G16" s="531"/>
      <c r="H16" s="521" t="str">
        <f t="shared" si="2"/>
        <v/>
      </c>
      <c r="I16" s="523">
        <f t="shared" si="0"/>
        <v>0</v>
      </c>
      <c r="J16" s="539" t="s">
        <v>664</v>
      </c>
    </row>
    <row r="17" spans="2:10" x14ac:dyDescent="0.35">
      <c r="B17" s="564" t="s">
        <v>673</v>
      </c>
      <c r="C17" s="561"/>
      <c r="D17" s="531"/>
      <c r="E17" s="521" t="str">
        <f t="shared" si="1"/>
        <v/>
      </c>
      <c r="F17" s="535"/>
      <c r="G17" s="536"/>
      <c r="H17" s="521" t="str">
        <f t="shared" si="2"/>
        <v/>
      </c>
      <c r="I17" s="523">
        <f t="shared" si="0"/>
        <v>0</v>
      </c>
      <c r="J17" s="539"/>
    </row>
    <row r="18" spans="2:10" x14ac:dyDescent="0.35">
      <c r="B18" s="565" t="s">
        <v>674</v>
      </c>
      <c r="C18" s="562"/>
      <c r="D18" s="532"/>
      <c r="E18" s="541" t="str">
        <f t="shared" si="1"/>
        <v/>
      </c>
      <c r="F18" s="537"/>
      <c r="G18" s="532"/>
      <c r="H18" s="524" t="str">
        <f t="shared" si="2"/>
        <v/>
      </c>
      <c r="I18" s="525">
        <f t="shared" si="0"/>
        <v>0</v>
      </c>
      <c r="J18" s="540" t="s">
        <v>664</v>
      </c>
    </row>
    <row r="19" spans="2:10" ht="15" thickBot="1" x14ac:dyDescent="0.4">
      <c r="B19" s="526" t="s">
        <v>675</v>
      </c>
      <c r="C19" s="527">
        <f>SUM(C7:C18)</f>
        <v>0</v>
      </c>
      <c r="D19" s="528">
        <f>SUM(D7:D18)</f>
        <v>0</v>
      </c>
      <c r="E19" s="542" t="str">
        <f t="shared" si="1"/>
        <v/>
      </c>
      <c r="F19" s="527">
        <f>SUM(F7:F18)</f>
        <v>0</v>
      </c>
      <c r="G19" s="528">
        <f>SUM(G7:G18)</f>
        <v>0</v>
      </c>
      <c r="H19" s="558" t="str">
        <f t="shared" si="2"/>
        <v/>
      </c>
      <c r="I19" s="559">
        <f t="shared" si="0"/>
        <v>0</v>
      </c>
      <c r="J19" s="529" t="s">
        <v>664</v>
      </c>
    </row>
  </sheetData>
  <sheetProtection algorithmName="SHA-512" hashValue="fYkBQs1LlJZs548nr6M0GkvAOLWgG+3TCw9iq0Tc9RzUVvVRkWfpqLAd69vJb25KxFeq4ot81j8Q9kNK135TWg==" saltValue="KDUpSTDoHxzszSU50MFieg==" spinCount="100000" sheet="1" objects="1" scenarios="1" formatCells="0" formatColumns="0" formatRows="0" insertColumns="0" insertRows="0"/>
  <mergeCells count="7">
    <mergeCell ref="B1:J1"/>
    <mergeCell ref="B2:J2"/>
    <mergeCell ref="B5:B6"/>
    <mergeCell ref="C5:E5"/>
    <mergeCell ref="F5:H5"/>
    <mergeCell ref="I5:I6"/>
    <mergeCell ref="J5:J6"/>
  </mergeCells>
  <pageMargins left="0.7" right="0.7" top="0.75" bottom="0.75" header="0.3" footer="0.3"/>
  <pageSetup scale="76" firstPageNumber="5" orientation="landscape" r:id="rId1"/>
  <headerFooter>
    <oddFooter>&amp;L&amp;A - &amp;P&amp;R2020 WSHFC 9% Addendum</oddFooter>
  </headerFooter>
  <ignoredErrors>
    <ignoredError sqref="E1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B1:K38"/>
  <sheetViews>
    <sheetView zoomScale="85" zoomScaleNormal="85" workbookViewId="0">
      <selection activeCell="O25" sqref="O25"/>
    </sheetView>
  </sheetViews>
  <sheetFormatPr defaultColWidth="9.1796875" defaultRowHeight="14.5" x14ac:dyDescent="0.35"/>
  <cols>
    <col min="1" max="1" width="1.7265625" style="132" customWidth="1"/>
    <col min="2" max="2" width="3.26953125" style="132" customWidth="1"/>
    <col min="3" max="3" width="0.81640625" style="132" customWidth="1"/>
    <col min="4" max="4" width="3.26953125" style="132" customWidth="1"/>
    <col min="5" max="5" width="44.26953125" style="132" customWidth="1"/>
    <col min="6" max="8" width="12.81640625" style="132" customWidth="1"/>
    <col min="9" max="9" width="1.54296875" style="132" customWidth="1"/>
    <col min="10" max="16384" width="9.1796875" style="132"/>
  </cols>
  <sheetData>
    <row r="1" spans="2:8" ht="18.5" x14ac:dyDescent="0.45">
      <c r="B1" s="774" t="s">
        <v>676</v>
      </c>
      <c r="C1" s="774"/>
      <c r="D1" s="774"/>
      <c r="E1" s="774"/>
      <c r="F1" s="774"/>
      <c r="G1" s="774"/>
      <c r="H1" s="774"/>
    </row>
    <row r="3" spans="2:8" ht="6.75" customHeight="1" x14ac:dyDescent="0.35">
      <c r="B3" s="778" t="s">
        <v>677</v>
      </c>
      <c r="C3" s="779"/>
      <c r="D3" s="779"/>
      <c r="E3" s="779"/>
      <c r="F3" s="779"/>
      <c r="G3" s="779"/>
      <c r="H3" s="780"/>
    </row>
    <row r="4" spans="2:8" ht="9.75" customHeight="1" x14ac:dyDescent="0.35">
      <c r="B4" s="781"/>
      <c r="C4" s="782"/>
      <c r="D4" s="782"/>
      <c r="E4" s="782"/>
      <c r="F4" s="782"/>
      <c r="G4" s="782"/>
      <c r="H4" s="783"/>
    </row>
    <row r="5" spans="2:8" ht="17.25" customHeight="1" x14ac:dyDescent="0.35">
      <c r="B5" s="784"/>
      <c r="C5" s="785"/>
      <c r="D5" s="785"/>
      <c r="E5" s="785"/>
      <c r="F5" s="785"/>
      <c r="G5" s="785"/>
      <c r="H5" s="786"/>
    </row>
    <row r="7" spans="2:8" x14ac:dyDescent="0.35">
      <c r="B7" s="61"/>
      <c r="D7" s="777" t="s">
        <v>678</v>
      </c>
      <c r="E7" s="777"/>
      <c r="F7" s="777"/>
      <c r="G7" s="777"/>
      <c r="H7" s="777"/>
    </row>
    <row r="8" spans="2:8" x14ac:dyDescent="0.35">
      <c r="B8"/>
      <c r="D8" s="777"/>
      <c r="E8" s="777"/>
      <c r="F8" s="777"/>
      <c r="G8" s="777"/>
      <c r="H8" s="777"/>
    </row>
    <row r="9" spans="2:8" x14ac:dyDescent="0.35">
      <c r="E9" s="132" t="s">
        <v>679</v>
      </c>
    </row>
    <row r="10" spans="2:8" ht="15" customHeight="1" x14ac:dyDescent="0.35">
      <c r="E10" s="544" t="s">
        <v>680</v>
      </c>
      <c r="F10" s="545"/>
      <c r="G10" s="545"/>
      <c r="H10" s="545"/>
    </row>
    <row r="11" spans="2:8" x14ac:dyDescent="0.35">
      <c r="E11" s="791" t="s">
        <v>681</v>
      </c>
      <c r="F11" s="791"/>
      <c r="G11" s="791"/>
      <c r="H11" s="791"/>
    </row>
    <row r="12" spans="2:8" x14ac:dyDescent="0.35">
      <c r="E12" s="132" t="s">
        <v>682</v>
      </c>
    </row>
    <row r="14" spans="2:8" x14ac:dyDescent="0.35">
      <c r="B14" s="61"/>
      <c r="D14" s="132" t="s">
        <v>683</v>
      </c>
    </row>
    <row r="15" spans="2:8" x14ac:dyDescent="0.35">
      <c r="D15" s="61"/>
      <c r="E15" s="546" t="s">
        <v>684</v>
      </c>
      <c r="F15" s="547"/>
      <c r="G15" s="547"/>
      <c r="H15" s="547"/>
    </row>
    <row r="16" spans="2:8" x14ac:dyDescent="0.35">
      <c r="D16" s="61"/>
      <c r="E16" s="546" t="s">
        <v>685</v>
      </c>
      <c r="F16" s="547"/>
      <c r="G16" s="547"/>
      <c r="H16" s="547"/>
    </row>
    <row r="17" spans="2:11" x14ac:dyDescent="0.35">
      <c r="D17" s="61"/>
      <c r="E17" s="546" t="s">
        <v>686</v>
      </c>
      <c r="F17" s="547"/>
      <c r="G17" s="547"/>
      <c r="H17" s="547"/>
    </row>
    <row r="18" spans="2:11" x14ac:dyDescent="0.35">
      <c r="D18" s="61"/>
      <c r="E18" s="132" t="s">
        <v>687</v>
      </c>
    </row>
    <row r="20" spans="2:11" ht="27" customHeight="1" x14ac:dyDescent="0.35">
      <c r="B20" s="777" t="s">
        <v>688</v>
      </c>
      <c r="C20" s="777"/>
      <c r="D20" s="777"/>
      <c r="E20" s="777"/>
      <c r="F20" s="777"/>
      <c r="G20" s="777"/>
      <c r="H20" s="777"/>
    </row>
    <row r="21" spans="2:11" ht="15" thickBot="1" x14ac:dyDescent="0.4"/>
    <row r="22" spans="2:11" ht="66" customHeight="1" x14ac:dyDescent="0.35">
      <c r="B22" s="789" t="s">
        <v>689</v>
      </c>
      <c r="C22" s="790"/>
      <c r="D22" s="790"/>
      <c r="E22" s="790"/>
      <c r="F22" s="548" t="s">
        <v>690</v>
      </c>
      <c r="G22" s="548" t="s">
        <v>691</v>
      </c>
      <c r="H22" s="549" t="s">
        <v>692</v>
      </c>
    </row>
    <row r="23" spans="2:11" x14ac:dyDescent="0.35">
      <c r="B23" s="787"/>
      <c r="C23" s="788"/>
      <c r="D23" s="788"/>
      <c r="E23" s="788"/>
      <c r="F23" s="551"/>
      <c r="G23" s="552"/>
      <c r="H23" s="553"/>
      <c r="K23" s="550"/>
    </row>
    <row r="24" spans="2:11" x14ac:dyDescent="0.35">
      <c r="B24" s="772" t="s">
        <v>664</v>
      </c>
      <c r="C24" s="773"/>
      <c r="D24" s="773"/>
      <c r="E24" s="773"/>
      <c r="F24" s="554" t="s">
        <v>664</v>
      </c>
      <c r="G24" s="554" t="s">
        <v>664</v>
      </c>
      <c r="H24" s="555"/>
      <c r="K24" s="550"/>
    </row>
    <row r="25" spans="2:11" x14ac:dyDescent="0.35">
      <c r="B25" s="772" t="s">
        <v>664</v>
      </c>
      <c r="C25" s="773"/>
      <c r="D25" s="773"/>
      <c r="E25" s="773"/>
      <c r="F25" s="554" t="s">
        <v>664</v>
      </c>
      <c r="G25" s="554" t="s">
        <v>664</v>
      </c>
      <c r="H25" s="555"/>
    </row>
    <row r="26" spans="2:11" x14ac:dyDescent="0.35">
      <c r="B26" s="772"/>
      <c r="C26" s="773"/>
      <c r="D26" s="773"/>
      <c r="E26" s="773"/>
      <c r="F26" s="554"/>
      <c r="G26" s="554"/>
      <c r="H26" s="555"/>
    </row>
    <row r="27" spans="2:11" x14ac:dyDescent="0.35">
      <c r="B27" s="772" t="s">
        <v>664</v>
      </c>
      <c r="C27" s="773"/>
      <c r="D27" s="773"/>
      <c r="E27" s="773"/>
      <c r="F27" s="554" t="s">
        <v>664</v>
      </c>
      <c r="G27" s="554" t="s">
        <v>664</v>
      </c>
      <c r="H27" s="555"/>
    </row>
    <row r="28" spans="2:11" x14ac:dyDescent="0.35">
      <c r="B28" s="772"/>
      <c r="C28" s="773"/>
      <c r="D28" s="773"/>
      <c r="E28" s="773"/>
      <c r="F28" s="554"/>
      <c r="G28" s="554"/>
      <c r="H28" s="555"/>
    </row>
    <row r="29" spans="2:11" x14ac:dyDescent="0.35">
      <c r="B29" s="772" t="s">
        <v>664</v>
      </c>
      <c r="C29" s="773"/>
      <c r="D29" s="773"/>
      <c r="E29" s="773"/>
      <c r="F29" s="554" t="s">
        <v>664</v>
      </c>
      <c r="G29" s="554" t="s">
        <v>664</v>
      </c>
      <c r="H29" s="555"/>
    </row>
    <row r="30" spans="2:11" x14ac:dyDescent="0.35">
      <c r="B30" s="772"/>
      <c r="C30" s="773"/>
      <c r="D30" s="773"/>
      <c r="E30" s="773"/>
      <c r="F30" s="554"/>
      <c r="G30" s="554"/>
      <c r="H30" s="555"/>
    </row>
    <row r="31" spans="2:11" x14ac:dyDescent="0.35">
      <c r="B31" s="772" t="s">
        <v>664</v>
      </c>
      <c r="C31" s="773"/>
      <c r="D31" s="773"/>
      <c r="E31" s="773"/>
      <c r="F31" s="554" t="s">
        <v>664</v>
      </c>
      <c r="G31" s="554" t="s">
        <v>664</v>
      </c>
      <c r="H31" s="555"/>
    </row>
    <row r="32" spans="2:11" x14ac:dyDescent="0.35">
      <c r="B32" s="772"/>
      <c r="C32" s="773"/>
      <c r="D32" s="773"/>
      <c r="E32" s="773"/>
      <c r="F32" s="554"/>
      <c r="G32" s="554"/>
      <c r="H32" s="555"/>
    </row>
    <row r="33" spans="2:8" x14ac:dyDescent="0.35">
      <c r="B33" s="772" t="s">
        <v>664</v>
      </c>
      <c r="C33" s="773"/>
      <c r="D33" s="773"/>
      <c r="E33" s="773"/>
      <c r="F33" s="554" t="s">
        <v>664</v>
      </c>
      <c r="G33" s="554" t="s">
        <v>664</v>
      </c>
      <c r="H33" s="555"/>
    </row>
    <row r="34" spans="2:8" x14ac:dyDescent="0.35">
      <c r="B34" s="772"/>
      <c r="C34" s="773"/>
      <c r="D34" s="773"/>
      <c r="E34" s="773"/>
      <c r="F34" s="554"/>
      <c r="G34" s="554"/>
      <c r="H34" s="555"/>
    </row>
    <row r="35" spans="2:8" x14ac:dyDescent="0.35">
      <c r="B35" s="772" t="s">
        <v>664</v>
      </c>
      <c r="C35" s="773"/>
      <c r="D35" s="773"/>
      <c r="E35" s="773"/>
      <c r="F35" s="554" t="s">
        <v>664</v>
      </c>
      <c r="G35" s="554" t="s">
        <v>664</v>
      </c>
      <c r="H35" s="555"/>
    </row>
    <row r="36" spans="2:8" x14ac:dyDescent="0.35">
      <c r="B36" s="772"/>
      <c r="C36" s="773"/>
      <c r="D36" s="773"/>
      <c r="E36" s="773"/>
      <c r="F36" s="554"/>
      <c r="G36" s="554"/>
      <c r="H36" s="555"/>
    </row>
    <row r="37" spans="2:8" x14ac:dyDescent="0.35">
      <c r="B37" s="772" t="s">
        <v>664</v>
      </c>
      <c r="C37" s="773"/>
      <c r="D37" s="773"/>
      <c r="E37" s="773"/>
      <c r="F37" s="554" t="s">
        <v>664</v>
      </c>
      <c r="G37" s="554" t="s">
        <v>664</v>
      </c>
      <c r="H37" s="555"/>
    </row>
    <row r="38" spans="2:8" ht="15" thickBot="1" x14ac:dyDescent="0.4">
      <c r="B38" s="775"/>
      <c r="C38" s="776"/>
      <c r="D38" s="776"/>
      <c r="E38" s="776"/>
      <c r="F38" s="556"/>
      <c r="G38" s="556"/>
      <c r="H38" s="557"/>
    </row>
  </sheetData>
  <sheetProtection algorithmName="SHA-512" hashValue="4LmHoZIpltf7p4SDqxIB1kJGb60BUNhwBexIaztwU2NXCP2K5fiDhYvFgqr2+TFkn9QAfmZhJ/qO3R8iGtUXAg==" saltValue="gYXu6mr5svBesJ7slCJWIw==" spinCount="100000" sheet="1" objects="1" scenarios="1" formatCells="0" formatColumns="0" formatRows="0" insertColumns="0" insertRows="0"/>
  <mergeCells count="22">
    <mergeCell ref="B3:H5"/>
    <mergeCell ref="B28:E28"/>
    <mergeCell ref="B23:E23"/>
    <mergeCell ref="B22:E22"/>
    <mergeCell ref="E11:H11"/>
    <mergeCell ref="B20:H20"/>
    <mergeCell ref="B29:E29"/>
    <mergeCell ref="B1:H1"/>
    <mergeCell ref="B36:E36"/>
    <mergeCell ref="B37:E37"/>
    <mergeCell ref="B38:E38"/>
    <mergeCell ref="D7:H8"/>
    <mergeCell ref="B30:E30"/>
    <mergeCell ref="B31:E31"/>
    <mergeCell ref="B32:E32"/>
    <mergeCell ref="B33:E33"/>
    <mergeCell ref="B34:E34"/>
    <mergeCell ref="B35:E35"/>
    <mergeCell ref="B24:E24"/>
    <mergeCell ref="B25:E25"/>
    <mergeCell ref="B26:E26"/>
    <mergeCell ref="B27:E27"/>
  </mergeCells>
  <printOptions horizontalCentered="1"/>
  <pageMargins left="0.7" right="0.7" top="0.75" bottom="0.75" header="0.3" footer="0.3"/>
  <pageSetup scale="96" firstPageNumber="5" orientation="portrait" r:id="rId1"/>
  <headerFooter>
    <oddFooter>&amp;L&amp;A - &amp;P&amp;R2020 WSHFC 9% Addendum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C28"/>
  <sheetViews>
    <sheetView showGridLines="0" workbookViewId="0">
      <selection activeCell="E23" sqref="E23"/>
    </sheetView>
  </sheetViews>
  <sheetFormatPr defaultColWidth="9.1796875" defaultRowHeight="14.5" x14ac:dyDescent="0.35"/>
  <cols>
    <col min="1" max="1" width="2.1796875" style="78" customWidth="1"/>
    <col min="2" max="2" width="71.453125" style="78" customWidth="1"/>
    <col min="3" max="3" width="12.81640625" style="78" customWidth="1"/>
    <col min="4" max="16384" width="9.1796875" style="78"/>
  </cols>
  <sheetData>
    <row r="1" spans="1:3" ht="18.5" x14ac:dyDescent="0.45">
      <c r="A1" s="702" t="s">
        <v>693</v>
      </c>
      <c r="B1" s="702"/>
      <c r="C1" s="702"/>
    </row>
    <row r="2" spans="1:3" ht="18.5" x14ac:dyDescent="0.45">
      <c r="A2" s="566"/>
      <c r="B2" s="566"/>
      <c r="C2" s="566"/>
    </row>
    <row r="4" spans="1:3" ht="16.5" x14ac:dyDescent="0.35">
      <c r="B4" t="s">
        <v>694</v>
      </c>
      <c r="C4" s="567"/>
    </row>
    <row r="5" spans="1:3" ht="16.5" x14ac:dyDescent="0.35">
      <c r="B5" s="577" t="s">
        <v>695</v>
      </c>
      <c r="C5" s="568"/>
    </row>
    <row r="6" spans="1:3" x14ac:dyDescent="0.35">
      <c r="B6" t="s">
        <v>696</v>
      </c>
      <c r="C6" s="571">
        <f>SUM(C4:C5)</f>
        <v>0</v>
      </c>
    </row>
    <row r="8" spans="1:3" x14ac:dyDescent="0.35">
      <c r="B8" t="s">
        <v>696</v>
      </c>
      <c r="C8" s="567"/>
    </row>
    <row r="9" spans="1:3" x14ac:dyDescent="0.35">
      <c r="B9" s="578" t="s">
        <v>697</v>
      </c>
      <c r="C9" s="569">
        <v>0.2</v>
      </c>
    </row>
    <row r="10" spans="1:3" x14ac:dyDescent="0.35">
      <c r="B10" t="s">
        <v>698</v>
      </c>
      <c r="C10" s="572">
        <f>C8*C9</f>
        <v>0</v>
      </c>
    </row>
    <row r="12" spans="1:3" x14ac:dyDescent="0.35">
      <c r="B12" t="s">
        <v>698</v>
      </c>
      <c r="C12" s="572">
        <f>C10</f>
        <v>0</v>
      </c>
    </row>
    <row r="13" spans="1:3" x14ac:dyDescent="0.35">
      <c r="B13" s="578" t="s">
        <v>699</v>
      </c>
      <c r="C13" s="568"/>
    </row>
    <row r="14" spans="1:3" x14ac:dyDescent="0.35">
      <c r="B14" t="s">
        <v>700</v>
      </c>
      <c r="C14" s="572">
        <f>C12*C13</f>
        <v>0</v>
      </c>
    </row>
    <row r="15" spans="1:3" x14ac:dyDescent="0.35">
      <c r="C15" s="570"/>
    </row>
    <row r="16" spans="1:3" x14ac:dyDescent="0.35">
      <c r="B16" t="s">
        <v>701</v>
      </c>
      <c r="C16" s="572">
        <f>C4</f>
        <v>0</v>
      </c>
    </row>
    <row r="17" spans="2:3" x14ac:dyDescent="0.35">
      <c r="B17" s="578" t="s">
        <v>697</v>
      </c>
      <c r="C17" s="573">
        <f>C9</f>
        <v>0.2</v>
      </c>
    </row>
    <row r="18" spans="2:3" ht="16.5" x14ac:dyDescent="0.35">
      <c r="B18" s="1" t="s">
        <v>702</v>
      </c>
      <c r="C18" s="574">
        <f>C16*C17</f>
        <v>0</v>
      </c>
    </row>
    <row r="19" spans="2:3" x14ac:dyDescent="0.35">
      <c r="C19" s="570"/>
    </row>
    <row r="20" spans="2:3" ht="16.5" x14ac:dyDescent="0.35">
      <c r="B20" t="s">
        <v>703</v>
      </c>
      <c r="C20" s="572">
        <f>C4*C9*C13</f>
        <v>0</v>
      </c>
    </row>
    <row r="21" spans="2:3" ht="16.5" x14ac:dyDescent="0.35">
      <c r="B21" t="s">
        <v>704</v>
      </c>
      <c r="C21" s="572">
        <f>C5*C9*C13</f>
        <v>0</v>
      </c>
    </row>
    <row r="25" spans="2:3" x14ac:dyDescent="0.35">
      <c r="B25" s="575" t="s">
        <v>705</v>
      </c>
    </row>
    <row r="26" spans="2:3" x14ac:dyDescent="0.35">
      <c r="B26" s="575" t="s">
        <v>706</v>
      </c>
    </row>
    <row r="27" spans="2:3" x14ac:dyDescent="0.35">
      <c r="B27" s="576" t="s">
        <v>707</v>
      </c>
    </row>
    <row r="28" spans="2:3" x14ac:dyDescent="0.35">
      <c r="B28" s="576" t="s">
        <v>708</v>
      </c>
    </row>
  </sheetData>
  <sheetProtection algorithmName="SHA-512" hashValue="f76nlbR0Uz4hOxn/KeMeBNGIU88zWzafBmTPlgbCXTsh5Cut4r+icgq5Q3CVdvpgtB6OJ8veJVM7nmpd+rFqsA==" saltValue="+FrURQ51upFBYWmIEC/NAg==" spinCount="100000" sheet="1" objects="1" scenarios="1" formatCells="0" formatColumns="0" formatRows="0" insertColumns="0" insertRows="0"/>
  <mergeCells count="1">
    <mergeCell ref="A1:C1"/>
  </mergeCells>
  <pageMargins left="0.7" right="0.7" top="0.75" bottom="0.75" header="0.3" footer="0.3"/>
  <pageSetup scale="93" firstPageNumber="5" orientation="portrait" r:id="rId1"/>
  <headerFooter>
    <oddFooter>&amp;L&amp;A - &amp;P&amp;R2020 WSHFC 9% Addendum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Q35"/>
  <sheetViews>
    <sheetView workbookViewId="0">
      <selection activeCell="E11" sqref="E11:J11"/>
    </sheetView>
  </sheetViews>
  <sheetFormatPr defaultColWidth="9.1796875" defaultRowHeight="14.5" x14ac:dyDescent="0.35"/>
  <cols>
    <col min="1" max="1" width="4.1796875" style="81" customWidth="1"/>
    <col min="2" max="2" width="9.1796875" style="81" customWidth="1"/>
    <col min="3" max="3" width="10" style="81" customWidth="1"/>
    <col min="4" max="4" width="9.81640625" style="81" customWidth="1"/>
    <col min="5" max="6" width="9.1796875" style="81"/>
    <col min="7" max="7" width="6" style="81" customWidth="1"/>
    <col min="8" max="8" width="3.81640625" style="81" customWidth="1"/>
    <col min="9" max="9" width="9.1796875" style="81"/>
    <col min="10" max="10" width="9.1796875" style="81" customWidth="1"/>
    <col min="11" max="16384" width="9.1796875" style="81"/>
  </cols>
  <sheetData>
    <row r="1" spans="1:10" ht="18.5" x14ac:dyDescent="0.45">
      <c r="A1" s="774" t="s">
        <v>709</v>
      </c>
      <c r="B1" s="774"/>
      <c r="C1" s="774"/>
      <c r="D1" s="774"/>
      <c r="E1" s="774"/>
      <c r="F1" s="774"/>
      <c r="G1" s="774"/>
      <c r="H1" s="774"/>
      <c r="I1" s="774"/>
      <c r="J1" s="132"/>
    </row>
    <row r="2" spans="1:10" x14ac:dyDescent="0.35">
      <c r="A2" s="800" t="s">
        <v>710</v>
      </c>
      <c r="B2" s="800"/>
      <c r="C2" s="800"/>
      <c r="D2" s="800"/>
      <c r="E2" s="800"/>
      <c r="F2" s="800"/>
      <c r="G2" s="800"/>
      <c r="H2" s="800"/>
      <c r="I2" s="800"/>
      <c r="J2" s="132"/>
    </row>
    <row r="3" spans="1:10" x14ac:dyDescent="0.35">
      <c r="A3" s="132"/>
      <c r="B3" s="132"/>
      <c r="C3" s="132"/>
      <c r="D3" s="132"/>
      <c r="E3" s="132"/>
      <c r="F3" s="132"/>
      <c r="G3" s="132"/>
      <c r="H3" s="132"/>
      <c r="I3" s="132"/>
      <c r="J3" s="132"/>
    </row>
    <row r="4" spans="1:10" x14ac:dyDescent="0.35">
      <c r="A4" s="777" t="s">
        <v>711</v>
      </c>
      <c r="B4" s="777"/>
      <c r="C4" s="777"/>
      <c r="D4" s="777"/>
      <c r="E4" s="777"/>
      <c r="F4" s="777"/>
      <c r="G4" s="777"/>
      <c r="H4" s="777"/>
      <c r="I4" s="777"/>
      <c r="J4" s="777"/>
    </row>
    <row r="5" spans="1:10" x14ac:dyDescent="0.35">
      <c r="A5" s="777"/>
      <c r="B5" s="777"/>
      <c r="C5" s="777"/>
      <c r="D5" s="777"/>
      <c r="E5" s="777"/>
      <c r="F5" s="777"/>
      <c r="G5" s="777"/>
      <c r="H5" s="777"/>
      <c r="I5" s="777"/>
      <c r="J5" s="777"/>
    </row>
    <row r="6" spans="1:10" x14ac:dyDescent="0.35">
      <c r="A6" s="777"/>
      <c r="B6" s="777"/>
      <c r="C6" s="777"/>
      <c r="D6" s="777"/>
      <c r="E6" s="777"/>
      <c r="F6" s="777"/>
      <c r="G6" s="777"/>
      <c r="H6" s="777"/>
      <c r="I6" s="777"/>
      <c r="J6" s="777"/>
    </row>
    <row r="7" spans="1:10" x14ac:dyDescent="0.35">
      <c r="A7" s="777"/>
      <c r="B7" s="777"/>
      <c r="C7" s="777"/>
      <c r="D7" s="777"/>
      <c r="E7" s="777"/>
      <c r="F7" s="777"/>
      <c r="G7" s="777"/>
      <c r="H7" s="777"/>
      <c r="I7" s="777"/>
      <c r="J7" s="777"/>
    </row>
    <row r="9" spans="1:10" x14ac:dyDescent="0.35">
      <c r="A9" s="585" t="s">
        <v>712</v>
      </c>
    </row>
    <row r="11" spans="1:10" x14ac:dyDescent="0.35">
      <c r="B11" s="792" t="s">
        <v>713</v>
      </c>
      <c r="C11" s="792"/>
      <c r="D11" s="793"/>
      <c r="E11" s="794"/>
      <c r="F11" s="799"/>
      <c r="G11" s="799"/>
      <c r="H11" s="799"/>
      <c r="I11" s="799"/>
      <c r="J11" s="795"/>
    </row>
    <row r="12" spans="1:10" x14ac:dyDescent="0.35">
      <c r="B12" s="792" t="s">
        <v>714</v>
      </c>
      <c r="C12" s="792"/>
      <c r="D12" s="793"/>
      <c r="E12" s="794"/>
      <c r="F12" s="799"/>
      <c r="G12" s="799"/>
      <c r="H12" s="799"/>
      <c r="I12" s="799"/>
      <c r="J12" s="795"/>
    </row>
    <row r="13" spans="1:10" x14ac:dyDescent="0.35">
      <c r="B13" s="792" t="s">
        <v>715</v>
      </c>
      <c r="C13" s="792"/>
      <c r="D13" s="793"/>
      <c r="E13" s="796"/>
      <c r="F13" s="797"/>
      <c r="G13" s="797"/>
      <c r="H13" s="797"/>
      <c r="I13" s="797"/>
      <c r="J13" s="798"/>
    </row>
    <row r="14" spans="1:10" x14ac:dyDescent="0.35">
      <c r="B14" s="792" t="s">
        <v>716</v>
      </c>
      <c r="C14" s="792"/>
      <c r="D14" s="793"/>
      <c r="E14" s="794"/>
      <c r="F14" s="799"/>
      <c r="G14" s="799"/>
      <c r="H14" s="799"/>
      <c r="I14" s="799"/>
      <c r="J14" s="795"/>
    </row>
    <row r="15" spans="1:10" x14ac:dyDescent="0.35">
      <c r="B15" s="792" t="s">
        <v>717</v>
      </c>
      <c r="C15" s="792"/>
      <c r="D15" s="793"/>
      <c r="E15" s="794"/>
      <c r="F15" s="795"/>
      <c r="G15" s="586" t="s">
        <v>718</v>
      </c>
      <c r="H15" s="62" t="s">
        <v>719</v>
      </c>
      <c r="I15" s="586" t="s">
        <v>720</v>
      </c>
      <c r="J15" s="582"/>
    </row>
    <row r="16" spans="1:10" ht="15" customHeight="1" x14ac:dyDescent="0.35">
      <c r="B16" s="792" t="s">
        <v>721</v>
      </c>
      <c r="C16" s="792"/>
      <c r="D16" s="793"/>
      <c r="E16" s="794"/>
      <c r="F16" s="795"/>
      <c r="G16" s="586" t="s">
        <v>722</v>
      </c>
      <c r="H16" s="796"/>
      <c r="I16" s="797"/>
      <c r="J16" s="798"/>
    </row>
    <row r="17" spans="1:10" x14ac:dyDescent="0.35">
      <c r="B17" s="792" t="s">
        <v>723</v>
      </c>
      <c r="C17" s="792"/>
      <c r="D17" s="793"/>
      <c r="E17" s="794"/>
      <c r="F17" s="799"/>
      <c r="G17" s="799"/>
      <c r="H17" s="799"/>
      <c r="I17" s="799"/>
      <c r="J17" s="795"/>
    </row>
    <row r="18" spans="1:10" x14ac:dyDescent="0.35">
      <c r="B18" s="792" t="s">
        <v>724</v>
      </c>
      <c r="C18" s="792"/>
      <c r="D18" s="792"/>
      <c r="E18" s="794"/>
      <c r="F18" s="799"/>
      <c r="G18" s="799"/>
      <c r="H18" s="799"/>
      <c r="I18" s="799"/>
      <c r="J18" s="795"/>
    </row>
    <row r="19" spans="1:10" x14ac:dyDescent="0.35">
      <c r="D19" s="583"/>
      <c r="E19" s="583"/>
    </row>
    <row r="22" spans="1:10" x14ac:dyDescent="0.35">
      <c r="A22" s="585" t="s">
        <v>725</v>
      </c>
    </row>
    <row r="24" spans="1:10" ht="15" customHeight="1" x14ac:dyDescent="0.35">
      <c r="B24" s="777" t="s">
        <v>726</v>
      </c>
      <c r="C24" s="777"/>
      <c r="D24" s="777"/>
      <c r="E24" s="777"/>
      <c r="F24" s="777"/>
      <c r="G24" s="777"/>
      <c r="H24" s="777"/>
      <c r="I24" s="777"/>
      <c r="J24" s="777"/>
    </row>
    <row r="25" spans="1:10" ht="30" customHeight="1" x14ac:dyDescent="0.35">
      <c r="A25" s="583"/>
      <c r="B25" s="777"/>
      <c r="C25" s="777"/>
      <c r="D25" s="777"/>
      <c r="E25" s="777"/>
      <c r="F25" s="777"/>
      <c r="G25" s="777"/>
      <c r="H25" s="777"/>
      <c r="I25" s="777"/>
      <c r="J25" s="777"/>
    </row>
    <row r="26" spans="1:10" x14ac:dyDescent="0.35">
      <c r="A26" s="583"/>
      <c r="B26" s="583"/>
      <c r="C26" s="583"/>
      <c r="D26" s="583"/>
      <c r="E26" s="583"/>
      <c r="F26" s="583"/>
      <c r="G26" s="583"/>
      <c r="H26" s="62"/>
      <c r="I26" s="543" t="s">
        <v>727</v>
      </c>
      <c r="J26" s="583"/>
    </row>
    <row r="27" spans="1:10" x14ac:dyDescent="0.35">
      <c r="A27" s="583"/>
      <c r="B27" s="583"/>
      <c r="C27" s="583"/>
      <c r="D27" s="583"/>
      <c r="E27" s="583"/>
      <c r="F27" s="583"/>
      <c r="G27" s="583"/>
      <c r="H27" s="62"/>
      <c r="I27" s="543" t="s">
        <v>728</v>
      </c>
      <c r="J27" s="583"/>
    </row>
    <row r="28" spans="1:10" x14ac:dyDescent="0.35">
      <c r="A28" s="583"/>
      <c r="B28" s="583"/>
      <c r="C28" s="583"/>
      <c r="D28" s="583"/>
      <c r="E28" s="583"/>
      <c r="F28" s="583"/>
      <c r="G28" s="583"/>
      <c r="H28" s="584"/>
      <c r="I28" s="583"/>
      <c r="J28" s="583"/>
    </row>
    <row r="29" spans="1:10" x14ac:dyDescent="0.35">
      <c r="B29" s="132" t="s">
        <v>729</v>
      </c>
    </row>
    <row r="30" spans="1:10" x14ac:dyDescent="0.35">
      <c r="B30" s="792" t="s">
        <v>730</v>
      </c>
      <c r="C30" s="792"/>
      <c r="D30" s="793"/>
      <c r="E30" s="794"/>
      <c r="F30" s="799"/>
      <c r="G30" s="799"/>
      <c r="H30" s="799"/>
      <c r="I30" s="799"/>
      <c r="J30" s="795"/>
    </row>
    <row r="31" spans="1:10" x14ac:dyDescent="0.35">
      <c r="B31" s="792" t="s">
        <v>731</v>
      </c>
      <c r="C31" s="792"/>
      <c r="D31" s="793"/>
      <c r="E31" s="579"/>
      <c r="F31" s="580"/>
      <c r="G31" s="580"/>
      <c r="H31" s="580"/>
      <c r="I31" s="580"/>
      <c r="J31" s="581"/>
    </row>
    <row r="32" spans="1:10" x14ac:dyDescent="0.35">
      <c r="B32" s="792" t="s">
        <v>716</v>
      </c>
      <c r="C32" s="792"/>
      <c r="D32" s="793"/>
      <c r="E32" s="794"/>
      <c r="F32" s="799"/>
      <c r="G32" s="799"/>
      <c r="H32" s="799"/>
      <c r="I32" s="799"/>
      <c r="J32" s="795"/>
    </row>
    <row r="33" spans="2:17" x14ac:dyDescent="0.35">
      <c r="B33" s="792" t="s">
        <v>717</v>
      </c>
      <c r="C33" s="792"/>
      <c r="D33" s="793"/>
      <c r="E33" s="794"/>
      <c r="F33" s="795"/>
      <c r="G33" s="586" t="s">
        <v>718</v>
      </c>
      <c r="H33" s="62" t="s">
        <v>719</v>
      </c>
      <c r="I33" s="586" t="s">
        <v>720</v>
      </c>
      <c r="J33" s="582"/>
    </row>
    <row r="34" spans="2:17" ht="15" customHeight="1" x14ac:dyDescent="0.35">
      <c r="B34" s="792" t="s">
        <v>721</v>
      </c>
      <c r="C34" s="792"/>
      <c r="D34" s="793"/>
      <c r="E34" s="794"/>
      <c r="F34" s="795"/>
      <c r="G34" s="586" t="s">
        <v>722</v>
      </c>
      <c r="H34" s="796"/>
      <c r="I34" s="797"/>
      <c r="J34" s="798"/>
      <c r="Q34" s="78"/>
    </row>
    <row r="35" spans="2:17" x14ac:dyDescent="0.35">
      <c r="B35" s="792" t="s">
        <v>732</v>
      </c>
      <c r="C35" s="792"/>
      <c r="D35" s="793"/>
      <c r="E35" s="794"/>
      <c r="F35" s="799"/>
      <c r="G35" s="799"/>
      <c r="H35" s="799"/>
      <c r="I35" s="799"/>
      <c r="J35" s="795"/>
    </row>
  </sheetData>
  <sheetProtection algorithmName="SHA-512" hashValue="gnZl4Ju6i+E/3UW9Gu4F2tfUfLCIxn4ugHV21Ke1R7qXMrgNk/B9GGV72MKKpaUax9HSW0yO7hE3sDbnfnXs7w==" saltValue="aJHBPMY317lCxUYlgBeJMw==" spinCount="100000" sheet="1" objects="1" scenarios="1" formatCells="0" formatColumns="0" formatRows="0" insertColumns="0" insertRows="0"/>
  <mergeCells count="33">
    <mergeCell ref="A1:I1"/>
    <mergeCell ref="A2:I2"/>
    <mergeCell ref="B12:D12"/>
    <mergeCell ref="B13:D13"/>
    <mergeCell ref="E11:J11"/>
    <mergeCell ref="E12:J12"/>
    <mergeCell ref="E13:J13"/>
    <mergeCell ref="B11:D11"/>
    <mergeCell ref="B16:D16"/>
    <mergeCell ref="B17:D17"/>
    <mergeCell ref="B18:D18"/>
    <mergeCell ref="A4:J7"/>
    <mergeCell ref="E15:F15"/>
    <mergeCell ref="E14:J14"/>
    <mergeCell ref="B15:D15"/>
    <mergeCell ref="E17:J17"/>
    <mergeCell ref="E18:J18"/>
    <mergeCell ref="H16:J16"/>
    <mergeCell ref="E16:F16"/>
    <mergeCell ref="B14:D14"/>
    <mergeCell ref="B24:J25"/>
    <mergeCell ref="B32:D32"/>
    <mergeCell ref="E32:J32"/>
    <mergeCell ref="B33:D33"/>
    <mergeCell ref="E33:F33"/>
    <mergeCell ref="B30:D30"/>
    <mergeCell ref="E30:J30"/>
    <mergeCell ref="B31:D31"/>
    <mergeCell ref="B34:D34"/>
    <mergeCell ref="E34:F34"/>
    <mergeCell ref="H34:J34"/>
    <mergeCell ref="B35:D35"/>
    <mergeCell ref="E35:J35"/>
  </mergeCells>
  <pageMargins left="0.7" right="0.7" top="0.75" bottom="0.75" header="0.3" footer="0.3"/>
  <pageSetup scale="93" firstPageNumber="5" orientation="portrait" r:id="rId1"/>
  <headerFooter>
    <oddFooter>&amp;L&amp;A - &amp;P&amp;R2020 WSHFC 9% Addendum</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J46"/>
  <sheetViews>
    <sheetView showGridLines="0" zoomScale="85" zoomScaleNormal="85" workbookViewId="0">
      <selection activeCell="R29" sqref="R29"/>
    </sheetView>
  </sheetViews>
  <sheetFormatPr defaultColWidth="9.1796875" defaultRowHeight="14.5" x14ac:dyDescent="0.35"/>
  <cols>
    <col min="1" max="1" width="11.26953125" style="78" customWidth="1"/>
    <col min="2" max="2" width="7.26953125" style="78" customWidth="1"/>
    <col min="3" max="3" width="4.453125" style="78" customWidth="1"/>
    <col min="4" max="5" width="9.1796875" style="78"/>
    <col min="6" max="6" width="12.26953125" style="78" customWidth="1"/>
    <col min="7" max="7" width="6.26953125" style="78" customWidth="1"/>
    <col min="8" max="8" width="9.1796875" style="78"/>
    <col min="9" max="9" width="10.7265625" style="78" customWidth="1"/>
    <col min="10" max="10" width="10.81640625" style="78" customWidth="1"/>
    <col min="11" max="16384" width="9.1796875" style="78"/>
  </cols>
  <sheetData>
    <row r="1" spans="1:10" ht="18.5" x14ac:dyDescent="0.45">
      <c r="A1" s="702" t="s">
        <v>733</v>
      </c>
      <c r="B1" s="702"/>
      <c r="C1" s="702"/>
      <c r="D1" s="702"/>
      <c r="E1" s="702"/>
      <c r="F1" s="702"/>
      <c r="G1" s="702"/>
      <c r="H1" s="702"/>
      <c r="I1" s="702"/>
      <c r="J1" s="702"/>
    </row>
    <row r="3" spans="1:10" x14ac:dyDescent="0.35">
      <c r="A3" s="804" t="s">
        <v>734</v>
      </c>
      <c r="B3" s="804"/>
      <c r="C3" s="804"/>
      <c r="D3" s="804"/>
      <c r="E3" s="804"/>
      <c r="F3" s="804"/>
      <c r="G3" s="804"/>
      <c r="H3" s="804"/>
      <c r="I3" s="804"/>
      <c r="J3" s="804"/>
    </row>
    <row r="4" spans="1:10" x14ac:dyDescent="0.35">
      <c r="A4" s="805" t="s">
        <v>735</v>
      </c>
      <c r="B4" s="805"/>
      <c r="C4" s="805"/>
      <c r="D4" s="805"/>
      <c r="E4" s="805"/>
      <c r="F4" s="805"/>
      <c r="G4" s="805"/>
      <c r="H4" s="805"/>
      <c r="I4" s="805"/>
      <c r="J4" s="805"/>
    </row>
    <row r="5" spans="1:10" x14ac:dyDescent="0.35">
      <c r="A5" s="805"/>
      <c r="B5" s="805"/>
      <c r="C5" s="805"/>
      <c r="D5" s="805"/>
      <c r="E5" s="805"/>
      <c r="F5" s="805"/>
      <c r="G5" s="805"/>
      <c r="H5" s="805"/>
      <c r="I5" s="805"/>
      <c r="J5" s="805"/>
    </row>
    <row r="6" spans="1:10" x14ac:dyDescent="0.35">
      <c r="A6" s="805"/>
      <c r="B6" s="805"/>
      <c r="C6" s="805"/>
      <c r="D6" s="805"/>
      <c r="E6" s="805"/>
      <c r="F6" s="805"/>
      <c r="G6" s="805"/>
      <c r="H6" s="805"/>
      <c r="I6" s="805"/>
      <c r="J6" s="805"/>
    </row>
    <row r="7" spans="1:10" x14ac:dyDescent="0.35">
      <c r="A7" s="805"/>
      <c r="B7" s="805"/>
      <c r="C7" s="805"/>
      <c r="D7" s="805"/>
      <c r="E7" s="805"/>
      <c r="F7" s="805"/>
      <c r="G7" s="805"/>
      <c r="H7" s="805"/>
      <c r="I7" s="805"/>
      <c r="J7" s="805"/>
    </row>
    <row r="8" spans="1:10" x14ac:dyDescent="0.35">
      <c r="A8" s="805"/>
      <c r="B8" s="805"/>
      <c r="C8" s="805"/>
      <c r="D8" s="805"/>
      <c r="E8" s="805"/>
      <c r="F8" s="805"/>
      <c r="G8" s="805"/>
      <c r="H8" s="805"/>
      <c r="I8" s="805"/>
      <c r="J8" s="805"/>
    </row>
    <row r="9" spans="1:10" x14ac:dyDescent="0.35">
      <c r="A9" s="805"/>
      <c r="B9" s="805"/>
      <c r="C9" s="805"/>
      <c r="D9" s="805"/>
      <c r="E9" s="805"/>
      <c r="F9" s="805"/>
      <c r="G9" s="805"/>
      <c r="H9" s="805"/>
      <c r="I9" s="805"/>
      <c r="J9" s="805"/>
    </row>
    <row r="10" spans="1:10" x14ac:dyDescent="0.35">
      <c r="A10" s="805"/>
      <c r="B10" s="805"/>
      <c r="C10" s="805"/>
      <c r="D10" s="805"/>
      <c r="E10" s="805"/>
      <c r="F10" s="805"/>
      <c r="G10" s="805"/>
      <c r="H10" s="805"/>
      <c r="I10" s="805"/>
      <c r="J10" s="805"/>
    </row>
    <row r="11" spans="1:10" x14ac:dyDescent="0.35">
      <c r="A11" s="805"/>
      <c r="B11" s="805"/>
      <c r="C11" s="805"/>
      <c r="D11" s="805"/>
      <c r="E11" s="805"/>
      <c r="F11" s="805"/>
      <c r="G11" s="805"/>
      <c r="H11" s="805"/>
      <c r="I11" s="805"/>
      <c r="J11" s="805"/>
    </row>
    <row r="12" spans="1:10" x14ac:dyDescent="0.35">
      <c r="A12" s="805"/>
      <c r="B12" s="805"/>
      <c r="C12" s="805"/>
      <c r="D12" s="805"/>
      <c r="E12" s="805"/>
      <c r="F12" s="805"/>
      <c r="G12" s="805"/>
      <c r="H12" s="805"/>
      <c r="I12" s="805"/>
      <c r="J12" s="805"/>
    </row>
    <row r="13" spans="1:10" x14ac:dyDescent="0.35">
      <c r="A13" s="805"/>
      <c r="B13" s="805"/>
      <c r="C13" s="805"/>
      <c r="D13" s="805"/>
      <c r="E13" s="805"/>
      <c r="F13" s="805"/>
      <c r="G13" s="805"/>
      <c r="H13" s="805"/>
      <c r="I13" s="805"/>
      <c r="J13" s="805"/>
    </row>
    <row r="14" spans="1:10" x14ac:dyDescent="0.35">
      <c r="A14" s="805"/>
      <c r="B14" s="805"/>
      <c r="C14" s="805"/>
      <c r="D14" s="805"/>
      <c r="E14" s="805"/>
      <c r="F14" s="805"/>
      <c r="G14" s="805"/>
      <c r="H14" s="805"/>
      <c r="I14" s="805"/>
      <c r="J14" s="805"/>
    </row>
    <row r="15" spans="1:10" x14ac:dyDescent="0.35">
      <c r="A15" s="805"/>
      <c r="B15" s="805"/>
      <c r="C15" s="805"/>
      <c r="D15" s="805"/>
      <c r="E15" s="805"/>
      <c r="F15" s="805"/>
      <c r="G15" s="805"/>
      <c r="H15" s="805"/>
      <c r="I15" s="805"/>
      <c r="J15" s="805"/>
    </row>
    <row r="16" spans="1:10" x14ac:dyDescent="0.35">
      <c r="A16" s="805"/>
      <c r="B16" s="805"/>
      <c r="C16" s="805"/>
      <c r="D16" s="805"/>
      <c r="E16" s="805"/>
      <c r="F16" s="805"/>
      <c r="G16" s="805"/>
      <c r="H16" s="805"/>
      <c r="I16" s="805"/>
      <c r="J16" s="805"/>
    </row>
    <row r="17" spans="1:10" x14ac:dyDescent="0.35">
      <c r="A17" s="805"/>
      <c r="B17" s="805"/>
      <c r="C17" s="805"/>
      <c r="D17" s="805"/>
      <c r="E17" s="805"/>
      <c r="F17" s="805"/>
      <c r="G17" s="805"/>
      <c r="H17" s="805"/>
      <c r="I17" s="805"/>
      <c r="J17" s="805"/>
    </row>
    <row r="18" spans="1:10" x14ac:dyDescent="0.35">
      <c r="A18" s="805"/>
      <c r="B18" s="805"/>
      <c r="C18" s="805"/>
      <c r="D18" s="805"/>
      <c r="E18" s="805"/>
      <c r="F18" s="805"/>
      <c r="G18" s="805"/>
      <c r="H18" s="805"/>
      <c r="I18" s="805"/>
      <c r="J18" s="805"/>
    </row>
    <row r="19" spans="1:10" x14ac:dyDescent="0.35">
      <c r="A19" s="805"/>
      <c r="B19" s="805"/>
      <c r="C19" s="805"/>
      <c r="D19" s="805"/>
      <c r="E19" s="805"/>
      <c r="F19" s="805"/>
      <c r="G19" s="805"/>
      <c r="H19" s="805"/>
      <c r="I19" s="805"/>
      <c r="J19" s="805"/>
    </row>
    <row r="20" spans="1:10" x14ac:dyDescent="0.35">
      <c r="A20" s="805"/>
      <c r="B20" s="805"/>
      <c r="C20" s="805"/>
      <c r="D20" s="805"/>
      <c r="E20" s="805"/>
      <c r="F20" s="805"/>
      <c r="G20" s="805"/>
      <c r="H20" s="805"/>
      <c r="I20" s="805"/>
      <c r="J20" s="805"/>
    </row>
    <row r="21" spans="1:10" x14ac:dyDescent="0.35">
      <c r="A21" s="805"/>
      <c r="B21" s="805"/>
      <c r="C21" s="805"/>
      <c r="D21" s="805"/>
      <c r="E21" s="805"/>
      <c r="F21" s="805"/>
      <c r="G21" s="805"/>
      <c r="H21" s="805"/>
      <c r="I21" s="805"/>
      <c r="J21" s="805"/>
    </row>
    <row r="22" spans="1:10" x14ac:dyDescent="0.35">
      <c r="A22" s="805"/>
      <c r="B22" s="805"/>
      <c r="C22" s="805"/>
      <c r="D22" s="805"/>
      <c r="E22" s="805"/>
      <c r="F22" s="805"/>
      <c r="G22" s="805"/>
      <c r="H22" s="805"/>
      <c r="I22" s="805"/>
      <c r="J22" s="805"/>
    </row>
    <row r="23" spans="1:10" x14ac:dyDescent="0.35">
      <c r="A23" s="805"/>
      <c r="B23" s="805"/>
      <c r="C23" s="805"/>
      <c r="D23" s="805"/>
      <c r="E23" s="805"/>
      <c r="F23" s="805"/>
      <c r="G23" s="805"/>
      <c r="H23" s="805"/>
      <c r="I23" s="805"/>
      <c r="J23" s="805"/>
    </row>
    <row r="24" spans="1:10" x14ac:dyDescent="0.35">
      <c r="A24" s="805"/>
      <c r="B24" s="805"/>
      <c r="C24" s="805"/>
      <c r="D24" s="805"/>
      <c r="E24" s="805"/>
      <c r="F24" s="805"/>
      <c r="G24" s="805"/>
      <c r="H24" s="805"/>
      <c r="I24" s="805"/>
      <c r="J24" s="805"/>
    </row>
    <row r="25" spans="1:10" x14ac:dyDescent="0.35">
      <c r="A25" s="805"/>
      <c r="B25" s="805"/>
      <c r="C25" s="805"/>
      <c r="D25" s="805"/>
      <c r="E25" s="805"/>
      <c r="F25" s="805"/>
      <c r="G25" s="805"/>
      <c r="H25" s="805"/>
      <c r="I25" s="805"/>
      <c r="J25" s="805"/>
    </row>
    <row r="26" spans="1:10" x14ac:dyDescent="0.35">
      <c r="A26" s="805"/>
      <c r="B26" s="805"/>
      <c r="C26" s="805"/>
      <c r="D26" s="805"/>
      <c r="E26" s="805"/>
      <c r="F26" s="805"/>
      <c r="G26" s="805"/>
      <c r="H26" s="805"/>
      <c r="I26" s="805"/>
      <c r="J26" s="805"/>
    </row>
    <row r="27" spans="1:10" x14ac:dyDescent="0.35">
      <c r="A27" s="805"/>
      <c r="B27" s="805"/>
      <c r="C27" s="805"/>
      <c r="D27" s="805"/>
      <c r="E27" s="805"/>
      <c r="F27" s="805"/>
      <c r="G27" s="805"/>
      <c r="H27" s="805"/>
      <c r="I27" s="805"/>
      <c r="J27" s="805"/>
    </row>
    <row r="28" spans="1:10" x14ac:dyDescent="0.35">
      <c r="A28" s="805"/>
      <c r="B28" s="805"/>
      <c r="C28" s="805"/>
      <c r="D28" s="805"/>
      <c r="E28" s="805"/>
      <c r="F28" s="805"/>
      <c r="G28" s="805"/>
      <c r="H28" s="805"/>
      <c r="I28" s="805"/>
      <c r="J28" s="805"/>
    </row>
    <row r="29" spans="1:10" x14ac:dyDescent="0.35">
      <c r="A29" s="805"/>
      <c r="B29" s="805"/>
      <c r="C29" s="805"/>
      <c r="D29" s="805"/>
      <c r="E29" s="805"/>
      <c r="F29" s="805"/>
      <c r="G29" s="805"/>
      <c r="H29" s="805"/>
      <c r="I29" s="805"/>
      <c r="J29" s="805"/>
    </row>
    <row r="30" spans="1:10" x14ac:dyDescent="0.35">
      <c r="A30" s="805"/>
      <c r="B30" s="805"/>
      <c r="C30" s="805"/>
      <c r="D30" s="805"/>
      <c r="E30" s="805"/>
      <c r="F30" s="805"/>
      <c r="G30" s="805"/>
      <c r="H30" s="805"/>
      <c r="I30" s="805"/>
      <c r="J30" s="805"/>
    </row>
    <row r="31" spans="1:10" x14ac:dyDescent="0.35">
      <c r="A31" s="805"/>
      <c r="B31" s="805"/>
      <c r="C31" s="805"/>
      <c r="D31" s="805"/>
      <c r="E31" s="805"/>
      <c r="F31" s="805"/>
      <c r="G31" s="805"/>
      <c r="H31" s="805"/>
      <c r="I31" s="805"/>
      <c r="J31" s="805"/>
    </row>
    <row r="32" spans="1:10" x14ac:dyDescent="0.35">
      <c r="A32" s="805"/>
      <c r="B32" s="805"/>
      <c r="C32" s="805"/>
      <c r="D32" s="805"/>
      <c r="E32" s="805"/>
      <c r="F32" s="805"/>
      <c r="G32" s="805"/>
      <c r="H32" s="805"/>
      <c r="I32" s="805"/>
      <c r="J32" s="805"/>
    </row>
    <row r="33" spans="1:10" x14ac:dyDescent="0.35">
      <c r="A33" s="805"/>
      <c r="B33" s="805"/>
      <c r="C33" s="805"/>
      <c r="D33" s="805"/>
      <c r="E33" s="805"/>
      <c r="F33" s="805"/>
      <c r="G33" s="805"/>
      <c r="H33" s="805"/>
      <c r="I33" s="805"/>
      <c r="J33" s="805"/>
    </row>
    <row r="34" spans="1:10" x14ac:dyDescent="0.35">
      <c r="A34" s="805"/>
      <c r="B34" s="805"/>
      <c r="C34" s="805"/>
      <c r="D34" s="805"/>
      <c r="E34" s="805"/>
      <c r="F34" s="805"/>
      <c r="G34" s="805"/>
      <c r="H34" s="805"/>
      <c r="I34" s="805"/>
      <c r="J34" s="805"/>
    </row>
    <row r="35" spans="1:10" x14ac:dyDescent="0.35">
      <c r="A35" s="805"/>
      <c r="B35" s="805"/>
      <c r="C35" s="805"/>
      <c r="D35" s="805"/>
      <c r="E35" s="805"/>
      <c r="F35" s="805"/>
      <c r="G35" s="805"/>
      <c r="H35" s="805"/>
      <c r="I35" s="805"/>
      <c r="J35" s="805"/>
    </row>
    <row r="36" spans="1:10" x14ac:dyDescent="0.35">
      <c r="A36" s="805"/>
      <c r="B36" s="805"/>
      <c r="C36" s="805"/>
      <c r="D36" s="805"/>
      <c r="E36" s="805"/>
      <c r="F36" s="805"/>
      <c r="G36" s="805"/>
      <c r="H36" s="805"/>
      <c r="I36" s="805"/>
      <c r="J36" s="805"/>
    </row>
    <row r="37" spans="1:10" x14ac:dyDescent="0.35">
      <c r="A37" s="805"/>
      <c r="B37" s="805"/>
      <c r="C37" s="805"/>
      <c r="D37" s="805"/>
      <c r="E37" s="805"/>
      <c r="F37" s="805"/>
      <c r="G37" s="805"/>
      <c r="H37" s="805"/>
      <c r="I37" s="805"/>
      <c r="J37" s="805"/>
    </row>
    <row r="38" spans="1:10" x14ac:dyDescent="0.35">
      <c r="A38" s="805"/>
      <c r="B38" s="805"/>
      <c r="C38" s="805"/>
      <c r="D38" s="805"/>
      <c r="E38" s="805"/>
      <c r="F38" s="805"/>
      <c r="G38" s="805"/>
      <c r="H38" s="805"/>
      <c r="I38" s="805"/>
      <c r="J38" s="805"/>
    </row>
    <row r="39" spans="1:10" x14ac:dyDescent="0.35">
      <c r="A39" s="805"/>
      <c r="B39" s="805"/>
      <c r="C39" s="805"/>
      <c r="D39" s="805"/>
      <c r="E39" s="805"/>
      <c r="F39" s="805"/>
      <c r="G39" s="805"/>
      <c r="H39" s="805"/>
      <c r="I39" s="805"/>
      <c r="J39" s="805"/>
    </row>
    <row r="40" spans="1:10" x14ac:dyDescent="0.35">
      <c r="A40" s="804" t="s">
        <v>736</v>
      </c>
      <c r="B40" s="804"/>
      <c r="C40" s="804"/>
      <c r="D40" s="804"/>
      <c r="E40" s="804"/>
      <c r="F40" s="804"/>
      <c r="G40" s="804"/>
      <c r="H40" s="804"/>
      <c r="I40" s="804"/>
      <c r="J40" s="804"/>
    </row>
    <row r="41" spans="1:10" ht="8.15" customHeight="1" x14ac:dyDescent="0.35">
      <c r="A41" s="199"/>
      <c r="B41" s="199"/>
      <c r="C41" s="199"/>
      <c r="D41" s="199"/>
      <c r="E41" s="199"/>
      <c r="F41" s="199"/>
      <c r="G41" s="199"/>
      <c r="H41" s="199"/>
      <c r="I41" s="199"/>
      <c r="J41" s="199"/>
    </row>
    <row r="42" spans="1:10" ht="22.9" customHeight="1" x14ac:dyDescent="0.35">
      <c r="A42" s="587" t="s">
        <v>737</v>
      </c>
      <c r="D42" s="801"/>
      <c r="E42" s="801"/>
      <c r="F42" s="801"/>
      <c r="G42" s="801"/>
      <c r="H42" s="801"/>
      <c r="I42" s="801"/>
      <c r="J42" s="801"/>
    </row>
    <row r="43" spans="1:10" ht="7.5" customHeight="1" x14ac:dyDescent="0.35">
      <c r="A43" s="80"/>
      <c r="D43" s="199"/>
      <c r="E43" s="199"/>
      <c r="F43" s="199"/>
      <c r="G43" s="199"/>
      <c r="H43" s="199"/>
      <c r="I43" s="199"/>
      <c r="J43" s="199"/>
    </row>
    <row r="44" spans="1:10" ht="22.9" customHeight="1" x14ac:dyDescent="0.35">
      <c r="A44" s="587" t="s">
        <v>738</v>
      </c>
      <c r="B44" s="199"/>
      <c r="C44" s="199"/>
      <c r="D44" s="802"/>
      <c r="E44" s="802"/>
      <c r="F44" s="802"/>
      <c r="G44" s="802"/>
      <c r="H44" s="802"/>
      <c r="I44" s="802"/>
      <c r="J44" s="802"/>
    </row>
    <row r="45" spans="1:10" ht="22.9" customHeight="1" x14ac:dyDescent="0.35">
      <c r="A45" s="588" t="s">
        <v>739</v>
      </c>
      <c r="B45" s="199"/>
      <c r="C45" s="199"/>
      <c r="D45" s="803"/>
      <c r="E45" s="803"/>
      <c r="F45" s="803"/>
      <c r="G45" s="803"/>
      <c r="H45" s="803"/>
      <c r="I45" s="803"/>
      <c r="J45" s="803"/>
    </row>
    <row r="46" spans="1:10" ht="22.9" customHeight="1" x14ac:dyDescent="0.35">
      <c r="A46" s="587" t="s">
        <v>740</v>
      </c>
      <c r="B46" s="199"/>
      <c r="C46" s="199"/>
      <c r="D46" s="710"/>
      <c r="E46" s="710"/>
      <c r="F46" s="710"/>
      <c r="G46" s="589" t="s">
        <v>741</v>
      </c>
      <c r="H46" s="710"/>
      <c r="I46" s="710"/>
      <c r="J46" s="710"/>
    </row>
  </sheetData>
  <sheetProtection algorithmName="SHA-512" hashValue="5dW3kL0TJ0l3z78aDW5k9C9jLq8wnvY4gt5Aup7hvZ/3Dr1IXSq9Y5DSPoUkL2OncxenAZn0bOHkMEnyMcKj1Q==" saltValue="XnsVW+e9xz/s7P6YgKTzIQ==" spinCount="100000" sheet="1" objects="1" scenarios="1" formatCells="0" formatColumns="0" formatRows="0" insertColumns="0" insertRows="0"/>
  <mergeCells count="9">
    <mergeCell ref="A1:J1"/>
    <mergeCell ref="D42:J42"/>
    <mergeCell ref="D44:J44"/>
    <mergeCell ref="D45:J45"/>
    <mergeCell ref="H46:J46"/>
    <mergeCell ref="A40:J40"/>
    <mergeCell ref="A4:J39"/>
    <mergeCell ref="D46:F46"/>
    <mergeCell ref="A3:J3"/>
  </mergeCells>
  <pageMargins left="0.7" right="0.7" top="0.75" bottom="0.75" header="0.3" footer="0.3"/>
  <pageSetup scale="93" firstPageNumber="5" orientation="portrait" r:id="rId1"/>
  <headerFooter>
    <oddFooter>&amp;L&amp;A - &amp;P&amp;R2020 WSHFC 9% Addendum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246"/>
  <sheetViews>
    <sheetView showGridLines="0" tabSelected="1" topLeftCell="A95" zoomScale="85" zoomScaleNormal="85" workbookViewId="0">
      <selection activeCell="M119" sqref="M119"/>
    </sheetView>
  </sheetViews>
  <sheetFormatPr defaultColWidth="8.81640625" defaultRowHeight="14.5" x14ac:dyDescent="0.35"/>
  <cols>
    <col min="1" max="1" width="1.54296875" style="86" customWidth="1"/>
    <col min="2" max="2" width="4.453125" style="86" customWidth="1"/>
    <col min="3" max="3" width="2.1796875" style="86" customWidth="1"/>
    <col min="4" max="4" width="2.81640625" style="86" customWidth="1"/>
    <col min="5" max="5" width="10.54296875" style="86" customWidth="1"/>
    <col min="6" max="6" width="8.81640625" style="86" customWidth="1"/>
    <col min="7" max="7" width="10.81640625" style="86" customWidth="1"/>
    <col min="8" max="8" width="7.26953125" style="86" customWidth="1"/>
    <col min="9" max="9" width="9.26953125" style="86" customWidth="1"/>
    <col min="10" max="10" width="7.453125" style="86" customWidth="1"/>
    <col min="11" max="11" width="15.453125" style="86" customWidth="1"/>
    <col min="12" max="12" width="12" style="86" bestFit="1" customWidth="1"/>
    <col min="13" max="13" width="10.7265625" style="86" customWidth="1"/>
    <col min="14" max="14" width="3.26953125" style="86" customWidth="1"/>
    <col min="15" max="16384" width="8.81640625" style="86"/>
  </cols>
  <sheetData>
    <row r="1" spans="2:14" ht="18.5" x14ac:dyDescent="0.45">
      <c r="B1" s="607" t="s">
        <v>0</v>
      </c>
      <c r="C1" s="607"/>
      <c r="D1" s="607"/>
      <c r="E1" s="607"/>
      <c r="F1" s="607"/>
      <c r="G1" s="607"/>
      <c r="H1" s="607"/>
      <c r="I1" s="607"/>
      <c r="J1" s="607"/>
      <c r="K1" s="607"/>
      <c r="L1" s="607"/>
      <c r="M1" s="607"/>
    </row>
    <row r="2" spans="2:14" x14ac:dyDescent="0.35">
      <c r="B2" s="87"/>
      <c r="C2" s="87"/>
      <c r="D2" s="87"/>
      <c r="E2" s="87"/>
      <c r="F2" s="87"/>
      <c r="G2" s="87"/>
      <c r="H2" s="87"/>
      <c r="I2" s="87"/>
      <c r="J2" s="87"/>
      <c r="K2" s="87"/>
      <c r="L2" s="87"/>
      <c r="M2" s="87"/>
    </row>
    <row r="3" spans="2:14" ht="4.5" customHeight="1" x14ac:dyDescent="0.35">
      <c r="B3" s="611" t="s">
        <v>1</v>
      </c>
      <c r="C3" s="612"/>
      <c r="D3" s="612"/>
      <c r="E3" s="612"/>
      <c r="F3" s="612"/>
      <c r="G3" s="612"/>
      <c r="H3" s="612"/>
      <c r="I3" s="612"/>
      <c r="J3" s="612"/>
      <c r="K3" s="612"/>
      <c r="L3" s="612"/>
      <c r="M3" s="613"/>
    </row>
    <row r="4" spans="2:14" x14ac:dyDescent="0.35">
      <c r="B4" s="614"/>
      <c r="C4" s="615"/>
      <c r="D4" s="615"/>
      <c r="E4" s="615"/>
      <c r="F4" s="615"/>
      <c r="G4" s="615"/>
      <c r="H4" s="615"/>
      <c r="I4" s="615"/>
      <c r="J4" s="615"/>
      <c r="K4" s="615"/>
      <c r="L4" s="615"/>
      <c r="M4" s="616"/>
    </row>
    <row r="5" spans="2:14" x14ac:dyDescent="0.35">
      <c r="B5" s="614"/>
      <c r="C5" s="615"/>
      <c r="D5" s="615"/>
      <c r="E5" s="615"/>
      <c r="F5" s="615"/>
      <c r="G5" s="615"/>
      <c r="H5" s="615"/>
      <c r="I5" s="615"/>
      <c r="J5" s="615"/>
      <c r="K5" s="615"/>
      <c r="L5" s="615"/>
      <c r="M5" s="616"/>
    </row>
    <row r="6" spans="2:14" x14ac:dyDescent="0.35">
      <c r="B6" s="614"/>
      <c r="C6" s="615"/>
      <c r="D6" s="615"/>
      <c r="E6" s="615"/>
      <c r="F6" s="615"/>
      <c r="G6" s="615"/>
      <c r="H6" s="615"/>
      <c r="I6" s="615"/>
      <c r="J6" s="615"/>
      <c r="K6" s="615"/>
      <c r="L6" s="615"/>
      <c r="M6" s="616"/>
    </row>
    <row r="7" spans="2:14" x14ac:dyDescent="0.35">
      <c r="B7" s="614"/>
      <c r="C7" s="615"/>
      <c r="D7" s="615"/>
      <c r="E7" s="615"/>
      <c r="F7" s="615"/>
      <c r="G7" s="615"/>
      <c r="H7" s="615"/>
      <c r="I7" s="615"/>
      <c r="J7" s="615"/>
      <c r="K7" s="615"/>
      <c r="L7" s="615"/>
      <c r="M7" s="616"/>
    </row>
    <row r="8" spans="2:14" x14ac:dyDescent="0.35">
      <c r="B8" s="614"/>
      <c r="C8" s="615"/>
      <c r="D8" s="615"/>
      <c r="E8" s="615"/>
      <c r="F8" s="615"/>
      <c r="G8" s="615"/>
      <c r="H8" s="615"/>
      <c r="I8" s="615"/>
      <c r="J8" s="615"/>
      <c r="K8" s="615"/>
      <c r="L8" s="615"/>
      <c r="M8" s="616"/>
    </row>
    <row r="9" spans="2:14" x14ac:dyDescent="0.35">
      <c r="B9" s="614"/>
      <c r="C9" s="615"/>
      <c r="D9" s="615"/>
      <c r="E9" s="615"/>
      <c r="F9" s="615"/>
      <c r="G9" s="615"/>
      <c r="H9" s="615"/>
      <c r="I9" s="615"/>
      <c r="J9" s="615"/>
      <c r="K9" s="615"/>
      <c r="L9" s="615"/>
      <c r="M9" s="616"/>
    </row>
    <row r="10" spans="2:14" x14ac:dyDescent="0.35">
      <c r="B10" s="617"/>
      <c r="C10" s="618"/>
      <c r="D10" s="618"/>
      <c r="E10" s="618"/>
      <c r="F10" s="618"/>
      <c r="G10" s="618"/>
      <c r="H10" s="618"/>
      <c r="I10" s="618"/>
      <c r="J10" s="618"/>
      <c r="K10" s="618"/>
      <c r="L10" s="618"/>
      <c r="M10" s="619"/>
    </row>
    <row r="11" spans="2:14" ht="7.5" customHeight="1" x14ac:dyDescent="0.35">
      <c r="B11" s="88"/>
      <c r="C11" s="88"/>
      <c r="D11" s="88"/>
      <c r="E11" s="88"/>
      <c r="F11" s="88"/>
      <c r="G11" s="88"/>
      <c r="H11" s="88"/>
      <c r="I11" s="88"/>
      <c r="J11" s="88"/>
      <c r="K11" s="88"/>
      <c r="L11" s="88"/>
      <c r="M11" s="89"/>
    </row>
    <row r="12" spans="2:14" ht="15" customHeight="1" x14ac:dyDescent="0.35">
      <c r="B12" s="88"/>
      <c r="C12" s="88"/>
      <c r="D12" s="88"/>
      <c r="E12" s="620"/>
      <c r="F12" s="620"/>
      <c r="G12" s="91"/>
      <c r="H12" s="90"/>
      <c r="I12" s="90"/>
      <c r="L12" s="88"/>
      <c r="M12" s="621" t="s">
        <v>2</v>
      </c>
      <c r="N12" s="92"/>
    </row>
    <row r="13" spans="2:14" x14ac:dyDescent="0.35">
      <c r="E13" s="93"/>
      <c r="F13" s="93"/>
      <c r="G13" s="93"/>
      <c r="L13"/>
      <c r="M13" s="622"/>
    </row>
    <row r="14" spans="2:14" x14ac:dyDescent="0.35">
      <c r="B14" s="94">
        <v>1</v>
      </c>
      <c r="C14" s="95" t="s">
        <v>3</v>
      </c>
      <c r="D14" s="95"/>
      <c r="E14" s="96"/>
      <c r="F14" s="95"/>
      <c r="G14" s="95"/>
      <c r="H14" s="95"/>
      <c r="I14" s="95"/>
      <c r="J14" s="95"/>
      <c r="K14" s="95"/>
      <c r="L14" s="97"/>
      <c r="M14" s="98">
        <f>IFERROR(VLOOKUP(_SetAsideCombination,IncomeList[], 2, FALSE), 0)</f>
        <v>0</v>
      </c>
    </row>
    <row r="15" spans="2:14" ht="7.5" customHeight="1" x14ac:dyDescent="0.35">
      <c r="C15" s="94"/>
      <c r="D15" s="94"/>
      <c r="E15" s="94"/>
      <c r="F15" s="94"/>
      <c r="G15" s="94"/>
      <c r="H15" s="94"/>
      <c r="I15" s="94"/>
      <c r="J15" s="94"/>
      <c r="K15" s="94"/>
      <c r="L15" s="99"/>
      <c r="M15" s="94"/>
    </row>
    <row r="16" spans="2:14" x14ac:dyDescent="0.35">
      <c r="C16" s="100" t="s">
        <v>4</v>
      </c>
      <c r="I16" s="101"/>
      <c r="J16" s="94"/>
    </row>
    <row r="17" spans="2:15" x14ac:dyDescent="0.35">
      <c r="D17" s="629" t="str" cm="1">
        <f t="array" ref="D17">IFERROR((_xlfn.IFS(O17="L_IncomeList", "Lower Income", O17="H_IncomeList", "Higher Income")), "")</f>
        <v/>
      </c>
      <c r="E17" s="630"/>
      <c r="F17" s="102" t="s">
        <v>5</v>
      </c>
      <c r="H17" s="623" t="s">
        <v>6</v>
      </c>
      <c r="I17" s="624"/>
      <c r="J17" s="624"/>
      <c r="K17" s="624"/>
      <c r="L17" s="624"/>
      <c r="M17" s="625"/>
      <c r="N17" s="103"/>
      <c r="O17" s="104">
        <f>VLOOKUP(H17,LIH_SetAsideLookup[], 2, FALSE)</f>
        <v>0</v>
      </c>
    </row>
    <row r="18" spans="2:15" x14ac:dyDescent="0.35">
      <c r="E18" s="102" t="s">
        <v>7</v>
      </c>
      <c r="F18" s="102"/>
      <c r="H18" s="626" t="s">
        <v>8</v>
      </c>
      <c r="I18" s="627"/>
      <c r="J18" s="627"/>
      <c r="K18" s="627"/>
      <c r="L18" s="627"/>
      <c r="M18" s="628"/>
    </row>
    <row r="19" spans="2:15" x14ac:dyDescent="0.35">
      <c r="D19" s="105"/>
    </row>
    <row r="20" spans="2:15" x14ac:dyDescent="0.35">
      <c r="E20" s="106" t="s">
        <v>9</v>
      </c>
      <c r="F20" s="107"/>
      <c r="G20" s="107"/>
      <c r="H20" s="107"/>
      <c r="I20" s="107"/>
      <c r="J20" s="107"/>
      <c r="K20" s="107"/>
      <c r="L20" s="107"/>
      <c r="M20" s="108"/>
    </row>
    <row r="21" spans="2:15" ht="28.5" customHeight="1" x14ac:dyDescent="0.35">
      <c r="E21" s="109" t="s">
        <v>10</v>
      </c>
      <c r="F21" s="110"/>
      <c r="G21" s="111" t="s">
        <v>11</v>
      </c>
      <c r="H21" s="110"/>
      <c r="I21" s="111" t="s">
        <v>12</v>
      </c>
      <c r="M21" s="112"/>
    </row>
    <row r="22" spans="2:15" x14ac:dyDescent="0.35">
      <c r="E22" s="68">
        <v>0</v>
      </c>
      <c r="F22" s="113" t="s">
        <v>13</v>
      </c>
      <c r="G22" s="84" t="s">
        <v>14</v>
      </c>
      <c r="H22" s="114" t="s">
        <v>15</v>
      </c>
      <c r="I22" s="63">
        <v>0</v>
      </c>
      <c r="M22" s="112"/>
    </row>
    <row r="23" spans="2:15" x14ac:dyDescent="0.35">
      <c r="E23" s="69">
        <v>0</v>
      </c>
      <c r="F23" s="115" t="s">
        <v>13</v>
      </c>
      <c r="G23" s="85" t="s">
        <v>16</v>
      </c>
      <c r="H23" s="116" t="s">
        <v>15</v>
      </c>
      <c r="I23" s="71">
        <v>0</v>
      </c>
      <c r="M23" s="112"/>
    </row>
    <row r="24" spans="2:15" x14ac:dyDescent="0.35">
      <c r="E24" s="70">
        <v>0</v>
      </c>
      <c r="F24" s="117" t="s">
        <v>13</v>
      </c>
      <c r="G24" s="85" t="s">
        <v>17</v>
      </c>
      <c r="H24" s="116" t="s">
        <v>15</v>
      </c>
      <c r="I24" s="71">
        <v>0</v>
      </c>
      <c r="M24" s="112"/>
    </row>
    <row r="25" spans="2:15" x14ac:dyDescent="0.35">
      <c r="E25" s="69">
        <v>0</v>
      </c>
      <c r="F25" s="115" t="s">
        <v>13</v>
      </c>
      <c r="G25" s="85" t="s">
        <v>18</v>
      </c>
      <c r="H25" s="116" t="s">
        <v>15</v>
      </c>
      <c r="I25" s="71">
        <v>0</v>
      </c>
      <c r="M25" s="112"/>
    </row>
    <row r="26" spans="2:15" x14ac:dyDescent="0.35">
      <c r="E26" s="118"/>
      <c r="F26" s="96"/>
      <c r="G26" s="96"/>
      <c r="H26" s="96"/>
      <c r="I26" s="119">
        <f>SUM(I22:I25)</f>
        <v>0</v>
      </c>
      <c r="J26" s="95" t="s">
        <v>19</v>
      </c>
      <c r="K26" s="96"/>
      <c r="L26" s="96"/>
      <c r="M26" s="120"/>
    </row>
    <row r="27" spans="2:15" x14ac:dyDescent="0.35">
      <c r="I27" s="101"/>
      <c r="J27" s="94"/>
    </row>
    <row r="28" spans="2:15" x14ac:dyDescent="0.35">
      <c r="B28" s="94">
        <v>2</v>
      </c>
      <c r="C28" s="95" t="s">
        <v>20</v>
      </c>
      <c r="D28" s="95"/>
      <c r="E28" s="96"/>
      <c r="F28" s="95"/>
      <c r="G28" s="95"/>
      <c r="H28" s="95"/>
      <c r="I28" s="95"/>
      <c r="J28" s="95"/>
      <c r="K28" s="95"/>
      <c r="L28" s="97"/>
      <c r="M28" s="98">
        <f>VLOOKUP(_AdditionalLihUsePeriod,UsePeriod_Ref[],2, FALSE)</f>
        <v>0</v>
      </c>
    </row>
    <row r="29" spans="2:15" ht="7.5" customHeight="1" x14ac:dyDescent="0.35">
      <c r="C29" s="94"/>
      <c r="D29" s="94"/>
      <c r="E29" s="94"/>
      <c r="F29" s="94"/>
      <c r="G29" s="94"/>
      <c r="H29" s="94"/>
      <c r="I29" s="94"/>
      <c r="J29" s="94"/>
      <c r="K29" s="94"/>
      <c r="L29" s="121"/>
      <c r="M29" s="99"/>
    </row>
    <row r="30" spans="2:15" x14ac:dyDescent="0.35">
      <c r="C30" s="94" t="s">
        <v>781</v>
      </c>
      <c r="D30" s="94"/>
    </row>
    <row r="31" spans="2:15" ht="4.5" customHeight="1" x14ac:dyDescent="0.35">
      <c r="C31" s="94"/>
      <c r="D31" s="94"/>
    </row>
    <row r="32" spans="2:15" x14ac:dyDescent="0.35">
      <c r="E32" s="604" t="s">
        <v>21</v>
      </c>
      <c r="F32" s="606"/>
      <c r="G32" s="99"/>
      <c r="I32" s="122"/>
      <c r="J32" s="123"/>
    </row>
    <row r="33" spans="2:15" x14ac:dyDescent="0.35">
      <c r="E33" s="83"/>
      <c r="F33" s="83"/>
      <c r="G33" s="99"/>
      <c r="I33" s="122"/>
      <c r="J33" s="123"/>
    </row>
    <row r="34" spans="2:15" x14ac:dyDescent="0.35">
      <c r="B34" s="94">
        <v>3</v>
      </c>
      <c r="C34" s="95" t="s">
        <v>22</v>
      </c>
      <c r="D34" s="95"/>
      <c r="E34" s="96"/>
      <c r="F34" s="95"/>
      <c r="G34" s="95"/>
      <c r="H34" s="95"/>
      <c r="I34" s="95"/>
      <c r="J34" s="95"/>
      <c r="K34" s="95"/>
      <c r="L34" s="97"/>
      <c r="M34" s="98" cm="1">
        <f t="array" ref="M34">_xlfn.IFS($O$40&gt;0, $O$40, $O$47&gt;0, $O$47, $O$57&gt;0, $O$57, TRUE, 0)</f>
        <v>0</v>
      </c>
    </row>
    <row r="35" spans="2:15" ht="7.5" customHeight="1" x14ac:dyDescent="0.35">
      <c r="C35" s="94"/>
      <c r="D35" s="94"/>
      <c r="E35" s="94"/>
      <c r="F35" s="94"/>
      <c r="G35" s="94"/>
      <c r="H35" s="94"/>
      <c r="I35" s="94"/>
      <c r="J35" s="94"/>
      <c r="K35" s="94"/>
      <c r="L35" s="94"/>
      <c r="M35" s="94"/>
    </row>
    <row r="36" spans="2:15" ht="15" customHeight="1" x14ac:dyDescent="0.35">
      <c r="C36" s="124" t="s">
        <v>23</v>
      </c>
      <c r="D36" s="125"/>
      <c r="E36" s="125"/>
      <c r="F36" s="125"/>
      <c r="G36" s="125"/>
      <c r="H36" s="125"/>
      <c r="I36" s="125"/>
      <c r="J36" s="125"/>
      <c r="K36" s="125"/>
      <c r="L36" s="125"/>
      <c r="M36" s="125"/>
      <c r="N36" s="110"/>
    </row>
    <row r="37" spans="2:15" ht="15" customHeight="1" x14ac:dyDescent="0.35">
      <c r="C37" s="125"/>
      <c r="D37" s="125"/>
      <c r="E37" s="125"/>
      <c r="F37" s="125"/>
      <c r="G37" s="125"/>
      <c r="H37" s="125"/>
      <c r="I37" s="125"/>
      <c r="J37" s="125"/>
      <c r="K37" s="125"/>
      <c r="L37" s="125"/>
      <c r="M37" s="125"/>
      <c r="N37" s="110"/>
    </row>
    <row r="38" spans="2:15" ht="16.149999999999999" customHeight="1" x14ac:dyDescent="0.35">
      <c r="C38" s="94" t="s">
        <v>24</v>
      </c>
      <c r="D38" s="94"/>
      <c r="E38" s="126"/>
      <c r="F38" s="126"/>
      <c r="G38" s="126"/>
      <c r="H38" s="126"/>
      <c r="I38" s="126"/>
      <c r="J38" s="126"/>
      <c r="K38" s="126"/>
      <c r="L38" s="126"/>
      <c r="M38" s="126"/>
    </row>
    <row r="39" spans="2:15" ht="4.5" customHeight="1" x14ac:dyDescent="0.35">
      <c r="C39" s="94"/>
      <c r="D39" s="94"/>
      <c r="E39" s="126"/>
      <c r="F39" s="126"/>
      <c r="G39" s="126"/>
      <c r="H39" s="126"/>
      <c r="I39" s="126"/>
      <c r="J39" s="126"/>
      <c r="K39" s="126"/>
      <c r="L39" s="126"/>
      <c r="M39" s="126"/>
    </row>
    <row r="40" spans="2:15" ht="16.149999999999999" customHeight="1" x14ac:dyDescent="0.35">
      <c r="E40" s="608" t="s">
        <v>21</v>
      </c>
      <c r="F40" s="609"/>
      <c r="G40" s="609"/>
      <c r="H40" s="609"/>
      <c r="I40" s="609"/>
      <c r="J40" s="609"/>
      <c r="K40" s="609"/>
      <c r="L40" s="609"/>
      <c r="M40" s="610"/>
      <c r="O40" s="104">
        <f>VLOOKUP(E40,Table2[],2, FALSE)</f>
        <v>0</v>
      </c>
    </row>
    <row r="41" spans="2:15" ht="5.25" customHeight="1" x14ac:dyDescent="0.35">
      <c r="E41" s="83"/>
      <c r="F41" s="83"/>
      <c r="G41" s="83"/>
      <c r="H41" s="83"/>
      <c r="I41" s="83"/>
      <c r="J41" s="83"/>
      <c r="K41" s="83"/>
      <c r="L41" s="83"/>
      <c r="M41" s="83"/>
      <c r="O41" s="104"/>
    </row>
    <row r="42" spans="2:15" ht="16.149999999999999" customHeight="1" x14ac:dyDescent="0.35">
      <c r="F42" s="127" t="s">
        <v>25</v>
      </c>
      <c r="G42" s="83"/>
      <c r="H42" s="83"/>
      <c r="I42" s="126"/>
      <c r="J42" s="83"/>
      <c r="K42" s="83"/>
      <c r="L42" s="66">
        <v>0</v>
      </c>
      <c r="M42" s="83" t="s">
        <v>26</v>
      </c>
      <c r="O42" s="104"/>
    </row>
    <row r="43" spans="2:15" ht="16.149999999999999" customHeight="1" x14ac:dyDescent="0.35">
      <c r="F43" s="127" t="s">
        <v>27</v>
      </c>
      <c r="G43" s="127"/>
      <c r="H43" s="127"/>
      <c r="I43" s="126"/>
      <c r="J43" s="127"/>
      <c r="K43" s="127"/>
      <c r="L43" s="67">
        <v>0</v>
      </c>
      <c r="M43" s="127" t="s">
        <v>26</v>
      </c>
      <c r="O43" s="104"/>
    </row>
    <row r="44" spans="2:15" ht="16.149999999999999" customHeight="1" x14ac:dyDescent="0.35">
      <c r="F44" s="83"/>
      <c r="G44" s="83"/>
      <c r="H44" s="83"/>
      <c r="J44" s="83"/>
      <c r="K44" s="83"/>
      <c r="L44" s="128"/>
      <c r="M44" s="83"/>
      <c r="O44" s="104"/>
    </row>
    <row r="45" spans="2:15" ht="16.149999999999999" customHeight="1" x14ac:dyDescent="0.35">
      <c r="C45" s="94" t="s">
        <v>28</v>
      </c>
      <c r="D45" s="94"/>
      <c r="O45" s="104"/>
    </row>
    <row r="46" spans="2:15" ht="4.5" customHeight="1" x14ac:dyDescent="0.35">
      <c r="C46" s="94"/>
      <c r="D46" s="94"/>
      <c r="O46" s="104"/>
    </row>
    <row r="47" spans="2:15" ht="16.149999999999999" customHeight="1" x14ac:dyDescent="0.35">
      <c r="E47" s="604" t="s">
        <v>21</v>
      </c>
      <c r="F47" s="605"/>
      <c r="G47" s="605"/>
      <c r="H47" s="605"/>
      <c r="I47" s="605"/>
      <c r="J47" s="605"/>
      <c r="K47" s="605"/>
      <c r="L47" s="605"/>
      <c r="M47" s="606"/>
      <c r="O47" s="104">
        <f>VLOOKUP(E47,Table3[],2, FALSE)</f>
        <v>0</v>
      </c>
    </row>
    <row r="48" spans="2:15" ht="5.25" customHeight="1" x14ac:dyDescent="0.35">
      <c r="E48" s="83"/>
      <c r="F48" s="83"/>
      <c r="G48" s="83"/>
      <c r="H48" s="83"/>
      <c r="I48" s="83"/>
      <c r="J48" s="83"/>
      <c r="K48" s="83"/>
      <c r="L48" s="83"/>
      <c r="M48" s="83"/>
      <c r="O48" s="104"/>
    </row>
    <row r="49" spans="2:15" ht="16.149999999999999" customHeight="1" x14ac:dyDescent="0.35">
      <c r="F49" s="83" t="s">
        <v>29</v>
      </c>
      <c r="G49" s="83"/>
      <c r="H49" s="83"/>
      <c r="J49" s="83"/>
      <c r="K49" s="83"/>
      <c r="L49" s="66">
        <v>0</v>
      </c>
      <c r="M49" s="83" t="s">
        <v>26</v>
      </c>
      <c r="O49" s="104"/>
    </row>
    <row r="50" spans="2:15" ht="16.149999999999999" customHeight="1" x14ac:dyDescent="0.35">
      <c r="E50" s="83"/>
      <c r="F50" s="83"/>
      <c r="G50" s="83"/>
      <c r="H50" s="83"/>
      <c r="I50" s="83"/>
      <c r="J50" s="83"/>
      <c r="K50" s="83"/>
      <c r="L50" s="83"/>
      <c r="M50" s="83"/>
      <c r="O50" s="104"/>
    </row>
    <row r="51" spans="2:15" ht="16.149999999999999" customHeight="1" x14ac:dyDescent="0.35">
      <c r="C51" s="94" t="s">
        <v>30</v>
      </c>
      <c r="D51" s="94"/>
      <c r="O51" s="104"/>
    </row>
    <row r="52" spans="2:15" ht="4.5" customHeight="1" x14ac:dyDescent="0.35">
      <c r="C52" s="94"/>
      <c r="D52" s="94"/>
      <c r="O52" s="104"/>
    </row>
    <row r="53" spans="2:15" ht="16.149999999999999" customHeight="1" x14ac:dyDescent="0.35">
      <c r="E53" s="604" t="s">
        <v>21</v>
      </c>
      <c r="F53" s="605"/>
      <c r="G53" s="605"/>
      <c r="H53" s="605"/>
      <c r="I53" s="605"/>
      <c r="J53" s="605"/>
      <c r="K53" s="605"/>
      <c r="L53" s="605"/>
      <c r="M53" s="606"/>
      <c r="O53" s="104">
        <f>VLOOKUP(E53,Table4[],2, FALSE)</f>
        <v>0</v>
      </c>
    </row>
    <row r="54" spans="2:15" ht="4.5" customHeight="1" x14ac:dyDescent="0.35">
      <c r="E54" s="129"/>
      <c r="F54" s="129"/>
      <c r="G54" s="129"/>
      <c r="H54" s="129"/>
      <c r="I54" s="129"/>
      <c r="J54" s="129"/>
      <c r="K54" s="129"/>
      <c r="L54" s="129"/>
      <c r="M54" s="129"/>
      <c r="O54" s="104"/>
    </row>
    <row r="55" spans="2:15" ht="16.149999999999999" customHeight="1" x14ac:dyDescent="0.35">
      <c r="E55" s="604" t="s">
        <v>21</v>
      </c>
      <c r="F55" s="605"/>
      <c r="G55" s="605"/>
      <c r="H55" s="605"/>
      <c r="I55" s="605"/>
      <c r="J55" s="605"/>
      <c r="K55" s="605"/>
      <c r="L55" s="605"/>
      <c r="M55" s="606"/>
      <c r="O55" s="104">
        <f>VLOOKUP(E55,Table4[],2, FALSE)</f>
        <v>0</v>
      </c>
    </row>
    <row r="56" spans="2:15" ht="7.9" customHeight="1" x14ac:dyDescent="0.35">
      <c r="E56" s="83"/>
      <c r="F56" s="83"/>
      <c r="G56" s="83"/>
      <c r="H56" s="83"/>
      <c r="I56" s="83"/>
      <c r="J56" s="83"/>
      <c r="K56" s="83"/>
      <c r="L56" s="83"/>
      <c r="M56" s="83"/>
      <c r="O56" s="104"/>
    </row>
    <row r="57" spans="2:15" ht="16.149999999999999" customHeight="1" x14ac:dyDescent="0.35">
      <c r="E57" s="83"/>
      <c r="F57" s="83" t="s">
        <v>31</v>
      </c>
      <c r="G57" s="83"/>
      <c r="H57" s="83"/>
      <c r="I57" s="83"/>
      <c r="J57" s="83"/>
      <c r="K57" s="83"/>
      <c r="L57" s="66">
        <v>0</v>
      </c>
      <c r="M57" s="83" t="s">
        <v>26</v>
      </c>
      <c r="O57" s="104">
        <f>SUM(O53:O55)</f>
        <v>0</v>
      </c>
    </row>
    <row r="58" spans="2:15" ht="16.149999999999999" customHeight="1" x14ac:dyDescent="0.35">
      <c r="E58" s="83"/>
      <c r="F58" s="82" t="s">
        <v>32</v>
      </c>
      <c r="H58" s="82"/>
      <c r="I58" s="82"/>
      <c r="J58" s="82"/>
      <c r="K58" s="82"/>
      <c r="L58" s="66">
        <v>0</v>
      </c>
      <c r="M58" s="83" t="s">
        <v>26</v>
      </c>
    </row>
    <row r="59" spans="2:15" ht="16.149999999999999" customHeight="1" x14ac:dyDescent="0.35">
      <c r="E59" s="83"/>
      <c r="F59" s="83" t="s">
        <v>33</v>
      </c>
      <c r="H59" s="83"/>
      <c r="I59" s="83"/>
      <c r="J59" s="83"/>
      <c r="K59" s="83"/>
      <c r="L59" s="66">
        <v>0</v>
      </c>
      <c r="M59" s="83" t="s">
        <v>26</v>
      </c>
    </row>
    <row r="60" spans="2:15" ht="16.149999999999999" customHeight="1" x14ac:dyDescent="0.35">
      <c r="E60" s="83"/>
      <c r="F60" s="83" t="s">
        <v>34</v>
      </c>
      <c r="H60" s="83"/>
      <c r="I60" s="83"/>
      <c r="J60" s="83"/>
      <c r="K60" s="83"/>
      <c r="L60" s="66">
        <v>0</v>
      </c>
      <c r="M60" s="83" t="s">
        <v>26</v>
      </c>
    </row>
    <row r="61" spans="2:15" ht="16.149999999999999" customHeight="1" x14ac:dyDescent="0.35">
      <c r="E61" s="83"/>
      <c r="F61" s="83" t="s">
        <v>35</v>
      </c>
      <c r="H61" s="83"/>
      <c r="I61" s="83"/>
      <c r="J61" s="83"/>
      <c r="K61" s="83"/>
      <c r="L61" s="66">
        <v>0</v>
      </c>
      <c r="M61" s="83" t="s">
        <v>26</v>
      </c>
    </row>
    <row r="62" spans="2:15" ht="16.149999999999999" customHeight="1" x14ac:dyDescent="0.35">
      <c r="E62" s="83"/>
      <c r="F62" s="83"/>
      <c r="H62" s="83"/>
      <c r="I62" s="83"/>
      <c r="J62" s="83"/>
      <c r="K62" s="83"/>
      <c r="L62" s="130"/>
      <c r="M62" s="83"/>
    </row>
    <row r="63" spans="2:15" x14ac:dyDescent="0.35">
      <c r="B63" s="94">
        <v>4</v>
      </c>
      <c r="C63" s="95" t="s">
        <v>36</v>
      </c>
      <c r="D63" s="95"/>
      <c r="E63" s="96"/>
      <c r="F63" s="95"/>
      <c r="G63" s="95"/>
      <c r="H63" s="95"/>
      <c r="I63" s="95"/>
      <c r="J63" s="95"/>
      <c r="K63" s="95"/>
      <c r="L63" s="97"/>
      <c r="M63" s="98">
        <f>VLOOKUP($G$91,leveragingPointsRef[], 2, FALSE)</f>
        <v>0</v>
      </c>
    </row>
    <row r="64" spans="2:15" ht="7.5" customHeight="1" x14ac:dyDescent="0.35">
      <c r="C64" s="94"/>
      <c r="D64" s="94"/>
      <c r="E64" s="94"/>
      <c r="F64" s="94"/>
      <c r="G64" s="94"/>
      <c r="H64" s="94"/>
      <c r="I64" s="94"/>
      <c r="J64" s="94"/>
      <c r="K64" s="94"/>
      <c r="L64" s="121"/>
      <c r="M64" s="99"/>
    </row>
    <row r="65" spans="3:13" s="131" customFormat="1" ht="28.15" customHeight="1" x14ac:dyDescent="0.35">
      <c r="C65" s="645" t="s">
        <v>37</v>
      </c>
      <c r="D65" s="645"/>
      <c r="E65" s="645"/>
      <c r="F65" s="645"/>
      <c r="G65" s="645"/>
      <c r="H65" s="645"/>
      <c r="I65" s="645"/>
      <c r="J65" s="645"/>
      <c r="K65" s="645"/>
      <c r="L65" s="645"/>
      <c r="M65" s="645"/>
    </row>
    <row r="66" spans="3:13" ht="4.5" customHeight="1" x14ac:dyDescent="0.35">
      <c r="C66" s="94"/>
      <c r="D66" s="94"/>
    </row>
    <row r="67" spans="3:13" x14ac:dyDescent="0.35">
      <c r="E67" s="86" t="s">
        <v>38</v>
      </c>
      <c r="H67" s="83"/>
      <c r="I67" s="83"/>
      <c r="J67" s="83"/>
      <c r="K67" s="664">
        <v>0</v>
      </c>
      <c r="L67" s="665"/>
    </row>
    <row r="68" spans="3:13" s="132" customFormat="1" ht="4.5" customHeight="1" x14ac:dyDescent="0.35"/>
    <row r="69" spans="3:13" x14ac:dyDescent="0.35">
      <c r="E69" s="86" t="s">
        <v>39</v>
      </c>
      <c r="G69" s="604" t="s">
        <v>40</v>
      </c>
      <c r="H69" s="605"/>
      <c r="I69" s="605"/>
      <c r="J69" s="605"/>
      <c r="K69" s="605"/>
      <c r="L69" s="606"/>
    </row>
    <row r="70" spans="3:13" x14ac:dyDescent="0.35">
      <c r="E70" s="86" t="s">
        <v>41</v>
      </c>
      <c r="G70" s="658">
        <v>0</v>
      </c>
      <c r="H70" s="659"/>
      <c r="I70" s="659"/>
      <c r="J70" s="659"/>
      <c r="K70" s="659"/>
      <c r="L70" s="660"/>
    </row>
    <row r="71" spans="3:13" ht="4.5" customHeight="1" x14ac:dyDescent="0.35"/>
    <row r="72" spans="3:13" x14ac:dyDescent="0.35">
      <c r="E72" s="86" t="s">
        <v>39</v>
      </c>
      <c r="G72" s="604" t="s">
        <v>40</v>
      </c>
      <c r="H72" s="605"/>
      <c r="I72" s="605"/>
      <c r="J72" s="605"/>
      <c r="K72" s="605"/>
      <c r="L72" s="606"/>
    </row>
    <row r="73" spans="3:13" x14ac:dyDescent="0.35">
      <c r="E73" s="86" t="s">
        <v>41</v>
      </c>
      <c r="G73" s="658">
        <v>0</v>
      </c>
      <c r="H73" s="659"/>
      <c r="I73" s="659"/>
      <c r="J73" s="659"/>
      <c r="K73" s="659"/>
      <c r="L73" s="660"/>
    </row>
    <row r="74" spans="3:13" s="132" customFormat="1" ht="4.5" customHeight="1" x14ac:dyDescent="0.35"/>
    <row r="75" spans="3:13" x14ac:dyDescent="0.35">
      <c r="E75" s="86" t="s">
        <v>39</v>
      </c>
      <c r="G75" s="604" t="s">
        <v>40</v>
      </c>
      <c r="H75" s="605"/>
      <c r="I75" s="605"/>
      <c r="J75" s="605"/>
      <c r="K75" s="605"/>
      <c r="L75" s="606"/>
    </row>
    <row r="76" spans="3:13" x14ac:dyDescent="0.35">
      <c r="E76" s="86" t="s">
        <v>41</v>
      </c>
      <c r="G76" s="658">
        <v>0</v>
      </c>
      <c r="H76" s="659"/>
      <c r="I76" s="659"/>
      <c r="J76" s="659"/>
      <c r="K76" s="659"/>
      <c r="L76" s="660"/>
    </row>
    <row r="77" spans="3:13" ht="4.5" customHeight="1" x14ac:dyDescent="0.35"/>
    <row r="78" spans="3:13" x14ac:dyDescent="0.35">
      <c r="E78" s="86" t="s">
        <v>39</v>
      </c>
      <c r="G78" s="604" t="s">
        <v>40</v>
      </c>
      <c r="H78" s="605"/>
      <c r="I78" s="605"/>
      <c r="J78" s="605"/>
      <c r="K78" s="605"/>
      <c r="L78" s="606"/>
    </row>
    <row r="79" spans="3:13" x14ac:dyDescent="0.35">
      <c r="E79" s="86" t="s">
        <v>41</v>
      </c>
      <c r="G79" s="658">
        <v>0</v>
      </c>
      <c r="H79" s="659"/>
      <c r="I79" s="659"/>
      <c r="J79" s="659"/>
      <c r="K79" s="659"/>
      <c r="L79" s="660"/>
    </row>
    <row r="80" spans="3:13" s="132" customFormat="1" ht="4.5" customHeight="1" x14ac:dyDescent="0.35"/>
    <row r="81" spans="2:13" x14ac:dyDescent="0.35">
      <c r="E81" s="86" t="s">
        <v>39</v>
      </c>
      <c r="G81" s="604" t="s">
        <v>40</v>
      </c>
      <c r="H81" s="605"/>
      <c r="I81" s="605"/>
      <c r="J81" s="605"/>
      <c r="K81" s="605"/>
      <c r="L81" s="606"/>
    </row>
    <row r="82" spans="2:13" x14ac:dyDescent="0.35">
      <c r="E82" s="86" t="s">
        <v>41</v>
      </c>
      <c r="G82" s="658">
        <v>0</v>
      </c>
      <c r="H82" s="659"/>
      <c r="I82" s="659"/>
      <c r="J82" s="659"/>
      <c r="K82" s="659"/>
      <c r="L82" s="660"/>
    </row>
    <row r="83" spans="2:13" ht="4.5" customHeight="1" x14ac:dyDescent="0.35"/>
    <row r="84" spans="2:13" x14ac:dyDescent="0.35">
      <c r="E84" s="86" t="s">
        <v>39</v>
      </c>
      <c r="G84" s="604" t="s">
        <v>40</v>
      </c>
      <c r="H84" s="605"/>
      <c r="I84" s="605"/>
      <c r="J84" s="605"/>
      <c r="K84" s="605"/>
      <c r="L84" s="606"/>
    </row>
    <row r="85" spans="2:13" x14ac:dyDescent="0.35">
      <c r="E85" s="86" t="s">
        <v>41</v>
      </c>
      <c r="G85" s="658">
        <v>0</v>
      </c>
      <c r="H85" s="659"/>
      <c r="I85" s="659"/>
      <c r="J85" s="659"/>
      <c r="K85" s="659"/>
      <c r="L85" s="660"/>
    </row>
    <row r="86" spans="2:13" x14ac:dyDescent="0.35">
      <c r="G86" s="83"/>
      <c r="H86" s="83"/>
      <c r="I86" s="83"/>
      <c r="J86" s="83"/>
      <c r="K86" s="83"/>
      <c r="L86" s="83"/>
    </row>
    <row r="87" spans="2:13" x14ac:dyDescent="0.35">
      <c r="E87" s="86" t="s">
        <v>42</v>
      </c>
      <c r="G87" s="83"/>
      <c r="H87" s="83"/>
      <c r="I87" s="83"/>
      <c r="J87" s="83"/>
      <c r="K87" s="133">
        <f>$G$70+$G$73+$G$76+$G$79+$G$82+$G$85</f>
        <v>0</v>
      </c>
      <c r="L87" s="83"/>
    </row>
    <row r="88" spans="2:13" ht="4.9000000000000004" customHeight="1" x14ac:dyDescent="0.35">
      <c r="E88" s="83"/>
      <c r="F88" s="83"/>
      <c r="H88" s="83"/>
      <c r="I88" s="83"/>
      <c r="J88" s="83"/>
      <c r="K88" s="83"/>
      <c r="L88" s="130"/>
      <c r="M88" s="83"/>
    </row>
    <row r="89" spans="2:13" x14ac:dyDescent="0.35">
      <c r="E89" s="86" t="s">
        <v>43</v>
      </c>
      <c r="G89" s="83"/>
      <c r="H89" s="83"/>
      <c r="I89" s="83"/>
      <c r="J89" s="83"/>
      <c r="K89" s="134">
        <f>IFERROR(K87/K67, 0)</f>
        <v>0</v>
      </c>
      <c r="L89" s="83"/>
    </row>
    <row r="90" spans="2:13" ht="4.9000000000000004" customHeight="1" x14ac:dyDescent="0.35">
      <c r="E90" s="83"/>
      <c r="F90" s="83"/>
      <c r="H90" s="83"/>
      <c r="I90" s="83"/>
      <c r="J90" s="83"/>
      <c r="K90" s="83"/>
      <c r="L90" s="130"/>
      <c r="M90" s="83"/>
    </row>
    <row r="91" spans="2:13" x14ac:dyDescent="0.35">
      <c r="E91" s="86" t="s">
        <v>44</v>
      </c>
      <c r="G91" s="604" t="s">
        <v>45</v>
      </c>
      <c r="H91" s="605"/>
      <c r="I91" s="605"/>
      <c r="J91" s="605"/>
      <c r="K91" s="605"/>
      <c r="L91" s="606"/>
    </row>
    <row r="92" spans="2:13" s="82" customFormat="1" x14ac:dyDescent="0.35">
      <c r="G92" s="83"/>
      <c r="H92" s="83"/>
      <c r="I92" s="83"/>
      <c r="J92" s="83"/>
      <c r="K92" s="83"/>
      <c r="L92" s="83"/>
    </row>
    <row r="93" spans="2:13" x14ac:dyDescent="0.35">
      <c r="E93" s="135" t="s">
        <v>46</v>
      </c>
      <c r="G93" s="83"/>
      <c r="H93" s="83"/>
      <c r="I93" s="83"/>
      <c r="J93" s="83"/>
      <c r="K93" s="83"/>
      <c r="L93" s="83"/>
    </row>
    <row r="94" spans="2:13" x14ac:dyDescent="0.35">
      <c r="G94" s="83"/>
      <c r="H94" s="83"/>
      <c r="I94" s="83"/>
      <c r="J94" s="83"/>
      <c r="K94" s="83"/>
      <c r="L94" s="83"/>
    </row>
    <row r="95" spans="2:13" x14ac:dyDescent="0.35">
      <c r="B95" s="94">
        <v>5</v>
      </c>
      <c r="C95" s="95" t="s">
        <v>47</v>
      </c>
      <c r="D95" s="95"/>
      <c r="E95" s="96"/>
      <c r="F95" s="95"/>
      <c r="G95" s="95"/>
      <c r="H95" s="95"/>
      <c r="I95" s="95"/>
      <c r="J95" s="95"/>
      <c r="K95" s="95"/>
      <c r="L95" s="97"/>
      <c r="M95" s="98">
        <f>IF($K$101&gt;=0.5, 2, 0)</f>
        <v>0</v>
      </c>
    </row>
    <row r="96" spans="2:13" ht="7.5" customHeight="1" x14ac:dyDescent="0.35">
      <c r="C96" s="94"/>
      <c r="D96" s="94"/>
      <c r="E96" s="94"/>
      <c r="F96" s="94"/>
      <c r="G96" s="94"/>
      <c r="H96" s="94"/>
      <c r="I96" s="94"/>
      <c r="J96" s="94"/>
      <c r="K96" s="94"/>
      <c r="L96" s="121"/>
      <c r="M96" s="99"/>
    </row>
    <row r="97" spans="2:13" ht="15" customHeight="1" x14ac:dyDescent="0.35">
      <c r="C97" s="136" t="s">
        <v>48</v>
      </c>
      <c r="D97" s="136"/>
      <c r="E97" s="136"/>
      <c r="F97" s="136"/>
      <c r="G97" s="136"/>
      <c r="H97" s="136"/>
      <c r="I97" s="136"/>
      <c r="J97" s="136"/>
      <c r="K97" s="136"/>
      <c r="L97" s="136"/>
      <c r="M97" s="136"/>
    </row>
    <row r="98" spans="2:13" ht="6.75" customHeight="1" x14ac:dyDescent="0.35">
      <c r="C98" s="94"/>
      <c r="D98" s="94"/>
    </row>
    <row r="99" spans="2:13" x14ac:dyDescent="0.35">
      <c r="E99" s="86" t="s">
        <v>42</v>
      </c>
      <c r="H99" s="137"/>
      <c r="J99" s="137"/>
      <c r="K99" s="138">
        <f>K87</f>
        <v>0</v>
      </c>
    </row>
    <row r="100" spans="2:13" x14ac:dyDescent="0.35">
      <c r="E100" s="86" t="s">
        <v>49</v>
      </c>
      <c r="H100" s="137"/>
      <c r="J100" s="139"/>
      <c r="K100" s="74">
        <v>0</v>
      </c>
    </row>
    <row r="101" spans="2:13" x14ac:dyDescent="0.35">
      <c r="E101" s="86" t="s">
        <v>50</v>
      </c>
      <c r="H101" s="137"/>
      <c r="J101" s="137"/>
      <c r="K101" s="134">
        <f>IFERROR(K100/K99, 0)</f>
        <v>0</v>
      </c>
    </row>
    <row r="102" spans="2:13" x14ac:dyDescent="0.35">
      <c r="H102" s="137"/>
      <c r="J102" s="137"/>
      <c r="K102" s="140"/>
    </row>
    <row r="103" spans="2:13" x14ac:dyDescent="0.35">
      <c r="B103" s="94">
        <v>6</v>
      </c>
      <c r="C103" s="95" t="s">
        <v>51</v>
      </c>
      <c r="D103" s="95"/>
      <c r="E103" s="96"/>
      <c r="F103" s="95"/>
      <c r="G103" s="95"/>
      <c r="H103" s="95"/>
      <c r="I103" s="95"/>
      <c r="J103" s="95"/>
      <c r="K103" s="95"/>
      <c r="L103" s="97"/>
      <c r="M103" s="98">
        <f>IF($I$110&gt;=0.5,4,IF(AND($I$110&gt;=0.26,$I$110&lt;0.5),3,IF(AND($I$110&gt;=0.1,$I$110&lt;0.26),2,0)))</f>
        <v>0</v>
      </c>
    </row>
    <row r="104" spans="2:13" ht="7.5" customHeight="1" x14ac:dyDescent="0.35">
      <c r="C104" s="94"/>
      <c r="D104" s="94"/>
      <c r="E104" s="94"/>
      <c r="F104" s="94"/>
      <c r="G104" s="94"/>
      <c r="H104" s="94"/>
      <c r="I104" s="94"/>
      <c r="J104" s="94"/>
      <c r="K104" s="94"/>
      <c r="L104" s="121"/>
      <c r="M104" s="99"/>
    </row>
    <row r="105" spans="2:13" x14ac:dyDescent="0.35">
      <c r="C105" s="100" t="s">
        <v>52</v>
      </c>
    </row>
    <row r="106" spans="2:13" ht="4.5" customHeight="1" x14ac:dyDescent="0.35">
      <c r="C106" s="94"/>
      <c r="D106" s="94"/>
    </row>
    <row r="107" spans="2:13" x14ac:dyDescent="0.35">
      <c r="E107" s="86" t="s">
        <v>53</v>
      </c>
      <c r="I107" s="661" t="s">
        <v>54</v>
      </c>
      <c r="J107" s="662"/>
      <c r="K107" s="662"/>
      <c r="L107" s="663"/>
    </row>
    <row r="108" spans="2:13" x14ac:dyDescent="0.35">
      <c r="E108" s="86" t="s">
        <v>55</v>
      </c>
      <c r="H108" s="137"/>
      <c r="I108" s="666">
        <v>0</v>
      </c>
      <c r="J108" s="667"/>
      <c r="K108" s="667"/>
      <c r="L108" s="668"/>
    </row>
    <row r="109" spans="2:13" x14ac:dyDescent="0.35">
      <c r="E109" s="86" t="s">
        <v>56</v>
      </c>
      <c r="H109" s="137"/>
      <c r="I109" s="647">
        <f>I26</f>
        <v>0</v>
      </c>
      <c r="J109" s="648"/>
      <c r="K109" s="648"/>
      <c r="L109" s="649"/>
    </row>
    <row r="110" spans="2:13" x14ac:dyDescent="0.35">
      <c r="E110" s="86" t="s">
        <v>57</v>
      </c>
      <c r="H110" s="137"/>
      <c r="I110" s="631">
        <f>IFERROR(I108/I109, 0)</f>
        <v>0</v>
      </c>
      <c r="J110" s="632"/>
      <c r="K110" s="632"/>
      <c r="L110" s="633"/>
    </row>
    <row r="111" spans="2:13" x14ac:dyDescent="0.35">
      <c r="H111" s="137"/>
      <c r="I111" s="594"/>
      <c r="J111" s="594"/>
      <c r="K111" s="594"/>
      <c r="L111" s="594"/>
    </row>
    <row r="112" spans="2:13" s="92" customFormat="1" x14ac:dyDescent="0.35">
      <c r="B112" s="596">
        <v>7</v>
      </c>
      <c r="C112" s="597" t="s">
        <v>58</v>
      </c>
      <c r="D112" s="598"/>
      <c r="E112" s="598"/>
      <c r="F112" s="598"/>
      <c r="G112" s="598"/>
      <c r="H112" s="599"/>
      <c r="I112" s="600"/>
      <c r="J112" s="600"/>
      <c r="K112" s="600"/>
      <c r="L112" s="600"/>
      <c r="M112" s="98">
        <f>IF(I117&gt;1, 1, 0)</f>
        <v>0</v>
      </c>
    </row>
    <row r="113" spans="2:13" ht="7.5" customHeight="1" x14ac:dyDescent="0.35">
      <c r="H113" s="137"/>
      <c r="I113" s="594"/>
      <c r="J113" s="594"/>
      <c r="K113" s="594"/>
      <c r="L113" s="594"/>
    </row>
    <row r="114" spans="2:13" ht="28.15" customHeight="1" x14ac:dyDescent="0.35">
      <c r="C114" s="637" t="s">
        <v>59</v>
      </c>
      <c r="D114" s="637"/>
      <c r="E114" s="637"/>
      <c r="F114" s="637"/>
      <c r="G114" s="637"/>
      <c r="H114" s="637"/>
      <c r="I114" s="637"/>
      <c r="J114" s="637"/>
      <c r="K114" s="637"/>
      <c r="L114" s="637"/>
      <c r="M114" s="637"/>
    </row>
    <row r="115" spans="2:13" ht="7.15" customHeight="1" x14ac:dyDescent="0.35">
      <c r="C115" s="592"/>
      <c r="D115" s="592"/>
      <c r="E115" s="592"/>
      <c r="F115" s="592"/>
      <c r="G115" s="592"/>
      <c r="H115" s="592"/>
      <c r="I115" s="592"/>
      <c r="J115" s="592"/>
      <c r="K115" s="592"/>
      <c r="L115" s="592"/>
      <c r="M115" s="592"/>
    </row>
    <row r="116" spans="2:13" ht="14.5" customHeight="1" x14ac:dyDescent="0.35">
      <c r="C116" s="592"/>
      <c r="D116" s="592"/>
      <c r="E116" s="595" t="s">
        <v>60</v>
      </c>
      <c r="F116" s="592"/>
      <c r="G116" s="592"/>
      <c r="H116" s="592"/>
      <c r="I116" s="661" t="s">
        <v>61</v>
      </c>
      <c r="J116" s="662"/>
      <c r="K116" s="662"/>
      <c r="L116" s="663"/>
      <c r="M116" s="592"/>
    </row>
    <row r="117" spans="2:13" ht="14.5" customHeight="1" x14ac:dyDescent="0.35">
      <c r="C117" s="592"/>
      <c r="D117" s="592"/>
      <c r="E117" s="595" t="s">
        <v>62</v>
      </c>
      <c r="F117" s="592"/>
      <c r="G117" s="592"/>
      <c r="H117" s="592"/>
      <c r="I117" s="661">
        <v>0</v>
      </c>
      <c r="J117" s="662"/>
      <c r="K117" s="662"/>
      <c r="L117" s="663"/>
      <c r="M117" s="592"/>
    </row>
    <row r="118" spans="2:13" x14ac:dyDescent="0.35">
      <c r="G118" s="141"/>
      <c r="H118" s="137"/>
      <c r="I118" s="64"/>
      <c r="J118" s="64"/>
      <c r="K118" s="65"/>
      <c r="L118" s="65"/>
    </row>
    <row r="119" spans="2:13" x14ac:dyDescent="0.35">
      <c r="B119" s="94">
        <v>8</v>
      </c>
      <c r="C119" s="95" t="s">
        <v>63</v>
      </c>
      <c r="D119" s="95"/>
      <c r="E119" s="96"/>
      <c r="F119" s="95"/>
      <c r="G119" s="95"/>
      <c r="H119" s="95"/>
      <c r="I119" s="95"/>
      <c r="J119" s="95"/>
      <c r="K119" s="95"/>
      <c r="L119" s="97"/>
      <c r="M119" s="98">
        <f>VLOOKUP($E$123,devFeeRef[], 2, FALSE)</f>
        <v>0</v>
      </c>
    </row>
    <row r="120" spans="2:13" ht="7.5" customHeight="1" x14ac:dyDescent="0.35">
      <c r="C120" s="94"/>
      <c r="D120" s="94"/>
      <c r="F120" s="94"/>
      <c r="G120" s="94"/>
      <c r="H120" s="94"/>
      <c r="I120" s="94"/>
      <c r="J120" s="94"/>
      <c r="K120" s="94"/>
      <c r="L120" s="121"/>
      <c r="M120" s="99"/>
    </row>
    <row r="121" spans="2:13" x14ac:dyDescent="0.35">
      <c r="C121" s="94" t="s">
        <v>64</v>
      </c>
      <c r="D121" s="94"/>
    </row>
    <row r="122" spans="2:13" ht="4.5" customHeight="1" x14ac:dyDescent="0.35">
      <c r="C122" s="94"/>
      <c r="D122" s="94"/>
    </row>
    <row r="123" spans="2:13" x14ac:dyDescent="0.35">
      <c r="E123" s="608" t="s">
        <v>21</v>
      </c>
      <c r="F123" s="610"/>
    </row>
    <row r="125" spans="2:13" x14ac:dyDescent="0.35">
      <c r="B125" s="94">
        <v>9</v>
      </c>
      <c r="C125" s="95" t="s">
        <v>65</v>
      </c>
      <c r="D125" s="95"/>
      <c r="E125" s="96"/>
      <c r="F125" s="95"/>
      <c r="G125" s="95"/>
      <c r="H125" s="95"/>
      <c r="I125" s="95"/>
      <c r="J125" s="95"/>
      <c r="K125" s="95"/>
      <c r="L125" s="97"/>
      <c r="M125" s="98">
        <f>IF($I$135&gt;=80,6,IF(AND($I$135&gt;0,$I$135&lt;80),4, 0))</f>
        <v>0</v>
      </c>
    </row>
    <row r="126" spans="2:13" ht="7.5" customHeight="1" x14ac:dyDescent="0.35"/>
    <row r="127" spans="2:13" ht="15" customHeight="1" x14ac:dyDescent="0.35">
      <c r="C127" s="656" t="s">
        <v>66</v>
      </c>
      <c r="D127" s="656"/>
      <c r="E127" s="656"/>
      <c r="F127" s="656"/>
      <c r="G127" s="656"/>
      <c r="H127" s="656"/>
      <c r="I127" s="656"/>
      <c r="J127" s="656"/>
      <c r="K127" s="656"/>
      <c r="L127" s="656"/>
      <c r="M127" s="656"/>
    </row>
    <row r="128" spans="2:13" ht="15" customHeight="1" x14ac:dyDescent="0.35">
      <c r="C128" s="656"/>
      <c r="D128" s="656"/>
      <c r="E128" s="656"/>
      <c r="F128" s="656"/>
      <c r="G128" s="656"/>
      <c r="H128" s="656"/>
      <c r="I128" s="656"/>
      <c r="J128" s="656"/>
      <c r="K128" s="656"/>
      <c r="L128" s="656"/>
      <c r="M128" s="656"/>
    </row>
    <row r="129" spans="2:13" ht="4.5" customHeight="1" x14ac:dyDescent="0.35">
      <c r="C129" s="94"/>
      <c r="D129" s="94"/>
      <c r="E129" s="94"/>
      <c r="F129" s="94"/>
      <c r="G129" s="94"/>
      <c r="H129" s="94"/>
      <c r="I129" s="94"/>
      <c r="J129" s="94"/>
      <c r="K129" s="94"/>
      <c r="L129" s="94"/>
      <c r="M129" s="94"/>
    </row>
    <row r="130" spans="2:13" x14ac:dyDescent="0.35">
      <c r="D130" s="100" t="s">
        <v>67</v>
      </c>
    </row>
    <row r="131" spans="2:13" ht="15" customHeight="1" x14ac:dyDescent="0.35">
      <c r="D131" s="100"/>
      <c r="E131" s="86" t="s">
        <v>68</v>
      </c>
      <c r="I131" s="650"/>
      <c r="J131" s="651"/>
      <c r="K131" s="651"/>
      <c r="L131" s="652"/>
    </row>
    <row r="132" spans="2:13" ht="13" customHeight="1" x14ac:dyDescent="0.35">
      <c r="D132" s="100"/>
      <c r="I132" s="653"/>
      <c r="J132" s="654"/>
      <c r="K132" s="654"/>
      <c r="L132" s="655"/>
    </row>
    <row r="133" spans="2:13" x14ac:dyDescent="0.35">
      <c r="D133" s="100"/>
      <c r="E133" s="86" t="s">
        <v>70</v>
      </c>
      <c r="I133" s="638" t="s">
        <v>71</v>
      </c>
      <c r="J133" s="639"/>
      <c r="K133" s="639"/>
      <c r="L133" s="640"/>
    </row>
    <row r="134" spans="2:13" x14ac:dyDescent="0.35">
      <c r="E134" s="86" t="s">
        <v>72</v>
      </c>
      <c r="H134" s="137"/>
      <c r="I134" s="638" t="s">
        <v>73</v>
      </c>
      <c r="J134" s="639"/>
      <c r="K134" s="639"/>
      <c r="L134" s="640"/>
    </row>
    <row r="135" spans="2:13" x14ac:dyDescent="0.35">
      <c r="E135" s="86" t="s">
        <v>74</v>
      </c>
      <c r="H135" s="137"/>
      <c r="I135" s="638">
        <v>0</v>
      </c>
      <c r="J135" s="639"/>
      <c r="K135" s="639"/>
      <c r="L135" s="640"/>
    </row>
    <row r="136" spans="2:13" x14ac:dyDescent="0.35">
      <c r="H136" s="137"/>
      <c r="I136" s="137"/>
      <c r="J136" s="137"/>
      <c r="K136" s="137"/>
      <c r="L136" s="137"/>
    </row>
    <row r="137" spans="2:13" x14ac:dyDescent="0.35">
      <c r="B137" s="94">
        <v>10</v>
      </c>
      <c r="C137" s="95" t="s">
        <v>75</v>
      </c>
      <c r="D137" s="95"/>
      <c r="E137" s="96"/>
      <c r="F137" s="95"/>
      <c r="G137" s="95"/>
      <c r="H137" s="95"/>
      <c r="I137" s="95"/>
      <c r="J137" s="95"/>
      <c r="K137" s="95"/>
      <c r="L137" s="97"/>
      <c r="M137" s="98">
        <f>IF($L$146&gt;=0.5, 5, 0)</f>
        <v>0</v>
      </c>
    </row>
    <row r="138" spans="2:13" ht="7.5" customHeight="1" x14ac:dyDescent="0.35"/>
    <row r="139" spans="2:13" ht="15" customHeight="1" x14ac:dyDescent="0.35">
      <c r="C139" s="656" t="s">
        <v>76</v>
      </c>
      <c r="D139" s="656"/>
      <c r="E139" s="656"/>
      <c r="F139" s="656"/>
      <c r="G139" s="656"/>
      <c r="H139" s="656"/>
      <c r="I139" s="656"/>
      <c r="J139" s="656"/>
      <c r="K139" s="656"/>
      <c r="L139" s="656"/>
      <c r="M139" s="656"/>
    </row>
    <row r="140" spans="2:13" ht="15" customHeight="1" x14ac:dyDescent="0.35">
      <c r="C140" s="656"/>
      <c r="D140" s="656"/>
      <c r="E140" s="656"/>
      <c r="F140" s="656"/>
      <c r="G140" s="656"/>
      <c r="H140" s="656"/>
      <c r="I140" s="656"/>
      <c r="J140" s="656"/>
      <c r="K140" s="656"/>
      <c r="L140" s="656"/>
      <c r="M140" s="656"/>
    </row>
    <row r="141" spans="2:13" ht="4.5" customHeight="1" x14ac:dyDescent="0.35">
      <c r="C141" s="94"/>
    </row>
    <row r="142" spans="2:13" x14ac:dyDescent="0.35">
      <c r="E142" s="604" t="s">
        <v>77</v>
      </c>
      <c r="F142" s="605"/>
      <c r="G142" s="605"/>
      <c r="H142" s="605"/>
      <c r="I142" s="605"/>
      <c r="J142" s="605"/>
      <c r="K142" s="605"/>
      <c r="L142" s="605"/>
      <c r="M142" s="606"/>
    </row>
    <row r="143" spans="2:13" ht="4.5" customHeight="1" x14ac:dyDescent="0.35">
      <c r="E143" s="82"/>
      <c r="F143" s="83"/>
      <c r="G143" s="83"/>
      <c r="H143" s="83"/>
      <c r="I143" s="83"/>
      <c r="J143" s="83"/>
      <c r="K143" s="83"/>
      <c r="L143" s="83"/>
      <c r="M143" s="83"/>
    </row>
    <row r="144" spans="2:13" x14ac:dyDescent="0.35">
      <c r="E144" s="82"/>
      <c r="F144" s="83" t="s">
        <v>78</v>
      </c>
      <c r="G144" s="83"/>
      <c r="H144" s="83"/>
      <c r="I144" s="83"/>
      <c r="J144" s="83"/>
      <c r="K144" s="83"/>
      <c r="L144" s="806">
        <f>I26</f>
        <v>0</v>
      </c>
      <c r="M144" s="83" t="s">
        <v>26</v>
      </c>
    </row>
    <row r="145" spans="2:13" x14ac:dyDescent="0.35">
      <c r="E145" s="83"/>
      <c r="F145" s="82" t="s">
        <v>79</v>
      </c>
      <c r="G145" s="142"/>
      <c r="H145" s="142"/>
      <c r="I145" s="142"/>
      <c r="J145" s="142"/>
      <c r="K145" s="142"/>
      <c r="L145" s="72">
        <v>0</v>
      </c>
      <c r="M145" s="83" t="s">
        <v>26</v>
      </c>
    </row>
    <row r="146" spans="2:13" x14ac:dyDescent="0.35">
      <c r="F146" s="86" t="s">
        <v>80</v>
      </c>
      <c r="L146" s="73">
        <f>IFERROR(L145/L144, 0)</f>
        <v>0</v>
      </c>
      <c r="M146" s="83"/>
    </row>
    <row r="147" spans="2:13" x14ac:dyDescent="0.35">
      <c r="L147" s="130"/>
      <c r="M147" s="83"/>
    </row>
    <row r="148" spans="2:13" x14ac:dyDescent="0.35">
      <c r="B148" s="94">
        <v>11</v>
      </c>
      <c r="C148" s="95" t="s">
        <v>81</v>
      </c>
      <c r="D148" s="95"/>
      <c r="E148" s="96"/>
      <c r="F148" s="95"/>
      <c r="G148" s="95"/>
      <c r="H148" s="95"/>
      <c r="I148" s="95"/>
      <c r="J148" s="95"/>
      <c r="K148" s="95"/>
      <c r="L148" s="97"/>
      <c r="M148" s="98">
        <f>VLOOKUP($G$152,elegibleTribesRef[], 2, FALSE)</f>
        <v>0</v>
      </c>
    </row>
    <row r="149" spans="2:13" ht="7.5" customHeight="1" x14ac:dyDescent="0.35">
      <c r="C149" s="94"/>
      <c r="D149" s="94"/>
      <c r="E149" s="94"/>
      <c r="F149" s="94"/>
      <c r="G149" s="94"/>
      <c r="H149" s="94"/>
      <c r="I149" s="94"/>
      <c r="J149" s="94"/>
      <c r="K149" s="94"/>
      <c r="L149" s="121"/>
      <c r="M149" s="99"/>
    </row>
    <row r="150" spans="2:13" s="131" customFormat="1" ht="28.15" customHeight="1" x14ac:dyDescent="0.35">
      <c r="C150" s="645" t="s">
        <v>82</v>
      </c>
      <c r="D150" s="645"/>
      <c r="E150" s="645"/>
      <c r="F150" s="645"/>
      <c r="G150" s="645"/>
      <c r="H150" s="645"/>
      <c r="I150" s="645"/>
      <c r="J150" s="645"/>
      <c r="K150" s="645"/>
      <c r="L150" s="645"/>
      <c r="M150" s="645"/>
    </row>
    <row r="151" spans="2:13" ht="4.5" customHeight="1" x14ac:dyDescent="0.35">
      <c r="C151" s="645"/>
      <c r="D151" s="645"/>
      <c r="E151" s="645"/>
      <c r="F151" s="645"/>
      <c r="G151" s="645"/>
      <c r="H151" s="645"/>
      <c r="I151" s="645"/>
      <c r="J151" s="645"/>
      <c r="K151" s="645"/>
      <c r="L151" s="645"/>
      <c r="M151" s="645"/>
    </row>
    <row r="152" spans="2:13" x14ac:dyDescent="0.35">
      <c r="C152" s="110"/>
      <c r="D152" s="110"/>
      <c r="E152" s="126" t="s">
        <v>83</v>
      </c>
      <c r="F152" s="110"/>
      <c r="G152" s="604" t="s">
        <v>84</v>
      </c>
      <c r="H152" s="605"/>
      <c r="I152" s="606"/>
      <c r="J152" s="83"/>
      <c r="K152" s="83"/>
      <c r="L152" s="110"/>
      <c r="M152" s="110"/>
    </row>
    <row r="153" spans="2:13" ht="15" customHeight="1" x14ac:dyDescent="0.35">
      <c r="C153" s="669"/>
      <c r="D153" s="669"/>
      <c r="E153" s="669"/>
      <c r="F153" s="669"/>
      <c r="G153" s="669"/>
      <c r="H153" s="669"/>
      <c r="I153" s="669"/>
      <c r="J153" s="669"/>
      <c r="K153" s="669"/>
      <c r="L153" s="669"/>
      <c r="M153" s="669"/>
    </row>
    <row r="154" spans="2:13" x14ac:dyDescent="0.35">
      <c r="B154" s="94">
        <v>12</v>
      </c>
      <c r="C154" s="95" t="s">
        <v>85</v>
      </c>
      <c r="D154" s="95"/>
      <c r="E154" s="96"/>
      <c r="F154" s="95"/>
      <c r="G154" s="95"/>
      <c r="H154" s="95"/>
      <c r="I154" s="95"/>
      <c r="J154" s="95"/>
      <c r="K154" s="95"/>
      <c r="L154" s="97"/>
      <c r="M154" s="98">
        <f>VLOOKUP($G$159,locationEffRef[], 2, FALSE)</f>
        <v>0</v>
      </c>
    </row>
    <row r="155" spans="2:13" ht="7.5" customHeight="1" x14ac:dyDescent="0.35">
      <c r="C155" s="94"/>
      <c r="D155" s="94"/>
      <c r="E155" s="94"/>
      <c r="F155" s="94"/>
      <c r="G155" s="94"/>
      <c r="H155" s="94"/>
      <c r="I155" s="94"/>
      <c r="J155" s="94"/>
      <c r="K155" s="94"/>
      <c r="L155" s="121"/>
      <c r="M155" s="99"/>
    </row>
    <row r="156" spans="2:13" ht="15" customHeight="1" x14ac:dyDescent="0.35">
      <c r="C156" s="656" t="s">
        <v>86</v>
      </c>
      <c r="D156" s="656"/>
      <c r="E156" s="656"/>
      <c r="F156" s="656"/>
      <c r="G156" s="656"/>
      <c r="H156" s="656"/>
      <c r="I156" s="656"/>
      <c r="J156" s="656"/>
      <c r="K156" s="656"/>
      <c r="L156" s="656"/>
      <c r="M156" s="656"/>
    </row>
    <row r="157" spans="2:13" ht="15" customHeight="1" x14ac:dyDescent="0.35">
      <c r="C157" s="656"/>
      <c r="D157" s="656"/>
      <c r="E157" s="656"/>
      <c r="F157" s="656"/>
      <c r="G157" s="656"/>
      <c r="H157" s="656"/>
      <c r="I157" s="656"/>
      <c r="J157" s="656"/>
      <c r="K157" s="656"/>
      <c r="L157" s="656"/>
      <c r="M157" s="656"/>
    </row>
    <row r="158" spans="2:13" ht="4.5" customHeight="1" x14ac:dyDescent="0.35">
      <c r="C158" s="110"/>
      <c r="D158" s="110"/>
      <c r="E158" s="110"/>
      <c r="F158" s="110"/>
      <c r="G158" s="110"/>
      <c r="H158" s="110"/>
      <c r="I158" s="110"/>
      <c r="J158" s="110"/>
      <c r="K158" s="110"/>
      <c r="L158" s="110"/>
      <c r="M158" s="110"/>
    </row>
    <row r="159" spans="2:13" x14ac:dyDescent="0.35">
      <c r="C159" s="110"/>
      <c r="D159" s="110"/>
      <c r="E159" s="126" t="s">
        <v>87</v>
      </c>
      <c r="F159" s="110"/>
      <c r="G159" s="604" t="s">
        <v>21</v>
      </c>
      <c r="H159" s="605"/>
      <c r="I159" s="605"/>
      <c r="J159" s="605"/>
      <c r="K159" s="605"/>
      <c r="L159" s="606"/>
      <c r="M159" s="110"/>
    </row>
    <row r="160" spans="2:13" x14ac:dyDescent="0.35">
      <c r="C160" s="94"/>
      <c r="D160" s="94"/>
      <c r="J160" s="94"/>
      <c r="K160" s="143"/>
      <c r="L160" s="121"/>
      <c r="M160" s="99"/>
    </row>
    <row r="161" spans="2:13" x14ac:dyDescent="0.35">
      <c r="B161" s="94">
        <v>13</v>
      </c>
      <c r="C161" s="95" t="s">
        <v>88</v>
      </c>
      <c r="D161" s="95"/>
      <c r="E161" s="96"/>
      <c r="F161" s="95"/>
      <c r="G161" s="95"/>
      <c r="H161" s="95"/>
      <c r="I161" s="95"/>
      <c r="J161" s="95"/>
      <c r="K161" s="95"/>
      <c r="L161" s="97"/>
      <c r="M161" s="98">
        <f>VLOOKUP($G$166,areaTargetedRef[], 2, FALSE)</f>
        <v>0</v>
      </c>
    </row>
    <row r="162" spans="2:13" ht="7.5" customHeight="1" x14ac:dyDescent="0.35">
      <c r="C162" s="94"/>
      <c r="D162" s="94"/>
      <c r="E162" s="94"/>
      <c r="F162" s="94"/>
      <c r="G162" s="94"/>
      <c r="H162" s="94"/>
      <c r="I162" s="94"/>
      <c r="J162" s="94"/>
      <c r="K162" s="94"/>
      <c r="L162" s="121"/>
      <c r="M162" s="99"/>
    </row>
    <row r="163" spans="2:13" ht="15" customHeight="1" x14ac:dyDescent="0.35">
      <c r="C163" s="645" t="s">
        <v>89</v>
      </c>
      <c r="D163" s="645"/>
      <c r="E163" s="645"/>
      <c r="F163" s="645"/>
      <c r="G163" s="645"/>
      <c r="H163" s="645"/>
      <c r="I163" s="645"/>
      <c r="J163" s="645"/>
      <c r="K163" s="645"/>
      <c r="L163" s="645"/>
      <c r="M163" s="645"/>
    </row>
    <row r="164" spans="2:13" x14ac:dyDescent="0.35">
      <c r="C164" s="645"/>
      <c r="D164" s="645"/>
      <c r="E164" s="645"/>
      <c r="F164" s="645"/>
      <c r="G164" s="645"/>
      <c r="H164" s="645"/>
      <c r="I164" s="645"/>
      <c r="J164" s="645"/>
      <c r="K164" s="645"/>
      <c r="L164" s="645"/>
      <c r="M164" s="645"/>
    </row>
    <row r="165" spans="2:13" ht="4.5" customHeight="1" x14ac:dyDescent="0.35">
      <c r="C165" s="110"/>
      <c r="D165" s="110"/>
      <c r="E165" s="110"/>
      <c r="F165" s="110"/>
      <c r="G165" s="110"/>
      <c r="H165" s="110"/>
      <c r="I165" s="110"/>
      <c r="J165" s="110"/>
      <c r="K165" s="110"/>
      <c r="L165" s="110"/>
      <c r="M165" s="110"/>
    </row>
    <row r="166" spans="2:13" x14ac:dyDescent="0.35">
      <c r="E166" s="86" t="s">
        <v>90</v>
      </c>
      <c r="G166" s="604" t="s">
        <v>91</v>
      </c>
      <c r="H166" s="605"/>
      <c r="I166" s="605"/>
      <c r="J166" s="605"/>
      <c r="K166" s="605"/>
      <c r="L166" s="606"/>
    </row>
    <row r="167" spans="2:13" x14ac:dyDescent="0.35">
      <c r="G167" s="83"/>
      <c r="H167" s="83"/>
      <c r="I167" s="83"/>
      <c r="J167" s="83"/>
      <c r="K167" s="83"/>
      <c r="L167" s="83"/>
    </row>
    <row r="168" spans="2:13" x14ac:dyDescent="0.35">
      <c r="B168" s="94">
        <v>14</v>
      </c>
      <c r="C168" s="95" t="s">
        <v>92</v>
      </c>
      <c r="D168" s="95"/>
      <c r="E168" s="96"/>
      <c r="F168" s="95"/>
      <c r="G168" s="95"/>
      <c r="H168" s="95"/>
      <c r="I168" s="95"/>
      <c r="J168" s="95"/>
      <c r="K168" s="95"/>
      <c r="L168" s="97"/>
      <c r="M168" s="98">
        <f>VLOOKUP($G$173,areaTargetedRef[], 3, FALSE)</f>
        <v>0</v>
      </c>
    </row>
    <row r="169" spans="2:13" ht="7.5" customHeight="1" x14ac:dyDescent="0.35">
      <c r="C169" s="94"/>
      <c r="D169" s="94"/>
      <c r="E169" s="94"/>
      <c r="F169" s="94"/>
      <c r="G169" s="94"/>
      <c r="H169" s="94"/>
      <c r="I169" s="94"/>
      <c r="J169" s="94"/>
      <c r="K169" s="94"/>
      <c r="L169" s="121"/>
      <c r="M169" s="99"/>
    </row>
    <row r="170" spans="2:13" ht="15" customHeight="1" x14ac:dyDescent="0.35">
      <c r="C170" s="656" t="s">
        <v>93</v>
      </c>
      <c r="D170" s="656"/>
      <c r="E170" s="656"/>
      <c r="F170" s="656"/>
      <c r="G170" s="656"/>
      <c r="H170" s="656"/>
      <c r="I170" s="656"/>
      <c r="J170" s="656"/>
      <c r="K170" s="656"/>
      <c r="L170" s="656"/>
      <c r="M170" s="656"/>
    </row>
    <row r="171" spans="2:13" x14ac:dyDescent="0.35">
      <c r="C171" s="656"/>
      <c r="D171" s="656"/>
      <c r="E171" s="656"/>
      <c r="F171" s="656"/>
      <c r="G171" s="656"/>
      <c r="H171" s="656"/>
      <c r="I171" s="656"/>
      <c r="J171" s="656"/>
      <c r="K171" s="656"/>
      <c r="L171" s="656"/>
      <c r="M171" s="656"/>
    </row>
    <row r="172" spans="2:13" ht="4.5" customHeight="1" x14ac:dyDescent="0.35">
      <c r="C172" s="110"/>
      <c r="D172" s="110"/>
      <c r="E172" s="110"/>
      <c r="F172" s="110"/>
      <c r="G172" s="110"/>
      <c r="H172" s="110"/>
      <c r="I172" s="110"/>
      <c r="J172" s="110"/>
      <c r="K172" s="110"/>
      <c r="L172" s="110"/>
      <c r="M172" s="110"/>
    </row>
    <row r="173" spans="2:13" x14ac:dyDescent="0.35">
      <c r="E173" s="86" t="s">
        <v>90</v>
      </c>
      <c r="G173" s="604" t="s">
        <v>91</v>
      </c>
      <c r="H173" s="605"/>
      <c r="I173" s="605"/>
      <c r="J173" s="605"/>
      <c r="K173" s="605"/>
      <c r="L173" s="606"/>
    </row>
    <row r="174" spans="2:13" x14ac:dyDescent="0.35">
      <c r="G174" s="83"/>
      <c r="H174" s="83"/>
      <c r="I174" s="83"/>
      <c r="J174" s="83"/>
      <c r="K174" s="83"/>
      <c r="L174" s="83"/>
    </row>
    <row r="175" spans="2:13" x14ac:dyDescent="0.35">
      <c r="B175" s="94">
        <v>15</v>
      </c>
      <c r="C175" s="95" t="s">
        <v>94</v>
      </c>
      <c r="D175" s="95"/>
      <c r="E175" s="96"/>
      <c r="F175" s="95"/>
      <c r="G175" s="95"/>
      <c r="H175" s="95"/>
      <c r="I175" s="95"/>
      <c r="J175" s="95"/>
      <c r="K175" s="95"/>
      <c r="L175" s="97"/>
      <c r="M175" s="98">
        <f>IF(OR($G$180=_ScoringList!$B$240,$G$180=_ScoringList!$B$241),1,0)</f>
        <v>0</v>
      </c>
    </row>
    <row r="176" spans="2:13" ht="7.5" customHeight="1" x14ac:dyDescent="0.35">
      <c r="C176" s="94"/>
      <c r="D176" s="94"/>
      <c r="E176" s="94"/>
      <c r="F176" s="94"/>
      <c r="G176" s="94"/>
      <c r="H176" s="94"/>
      <c r="I176" s="94"/>
      <c r="J176" s="94"/>
      <c r="K176" s="94"/>
      <c r="L176" s="121"/>
      <c r="M176" s="99"/>
    </row>
    <row r="177" spans="2:13" ht="15" customHeight="1" x14ac:dyDescent="0.35">
      <c r="C177" s="656" t="s">
        <v>782</v>
      </c>
      <c r="D177" s="656"/>
      <c r="E177" s="656"/>
      <c r="F177" s="656"/>
      <c r="G177" s="656"/>
      <c r="H177" s="656"/>
      <c r="I177" s="656"/>
      <c r="J177" s="656"/>
      <c r="K177" s="656"/>
      <c r="L177" s="656"/>
      <c r="M177" s="656"/>
    </row>
    <row r="178" spans="2:13" x14ac:dyDescent="0.35">
      <c r="C178" s="656"/>
      <c r="D178" s="656"/>
      <c r="E178" s="656"/>
      <c r="F178" s="656"/>
      <c r="G178" s="656"/>
      <c r="H178" s="656"/>
      <c r="I178" s="656"/>
      <c r="J178" s="656"/>
      <c r="K178" s="656"/>
      <c r="L178" s="656"/>
      <c r="M178" s="656"/>
    </row>
    <row r="179" spans="2:13" ht="4.5" customHeight="1" x14ac:dyDescent="0.35">
      <c r="C179" s="110"/>
      <c r="D179" s="110"/>
      <c r="E179" s="110"/>
      <c r="F179" s="110"/>
      <c r="G179" s="110"/>
      <c r="H179" s="110"/>
      <c r="I179" s="110"/>
      <c r="J179" s="110"/>
      <c r="K179" s="110"/>
      <c r="L179" s="110"/>
      <c r="M179" s="110"/>
    </row>
    <row r="180" spans="2:13" x14ac:dyDescent="0.35">
      <c r="E180" s="86" t="s">
        <v>90</v>
      </c>
      <c r="G180" s="604" t="s">
        <v>95</v>
      </c>
      <c r="H180" s="605"/>
      <c r="I180" s="605"/>
      <c r="J180" s="605"/>
      <c r="K180" s="605"/>
      <c r="L180" s="606"/>
    </row>
    <row r="181" spans="2:13" x14ac:dyDescent="0.35">
      <c r="G181" s="83"/>
      <c r="H181" s="83"/>
      <c r="I181" s="83"/>
      <c r="J181" s="83"/>
      <c r="K181" s="83"/>
      <c r="L181" s="83"/>
    </row>
    <row r="182" spans="2:13" x14ac:dyDescent="0.35">
      <c r="B182" s="94">
        <v>16</v>
      </c>
      <c r="C182" s="95" t="s">
        <v>96</v>
      </c>
      <c r="D182" s="95"/>
      <c r="E182" s="96"/>
      <c r="F182" s="95"/>
      <c r="G182" s="95"/>
      <c r="H182" s="95"/>
      <c r="I182" s="95"/>
      <c r="J182" s="95"/>
      <c r="K182" s="95"/>
      <c r="L182" s="97"/>
      <c r="M182" s="98">
        <f>IF($G$187=_ScoringList!$B$246, 1, 0)</f>
        <v>0</v>
      </c>
    </row>
    <row r="183" spans="2:13" ht="7.5" customHeight="1" x14ac:dyDescent="0.35">
      <c r="C183" s="94"/>
      <c r="D183" s="94"/>
      <c r="E183" s="94"/>
      <c r="F183" s="94"/>
      <c r="G183" s="94"/>
      <c r="H183" s="94"/>
      <c r="I183" s="94"/>
      <c r="J183" s="94"/>
      <c r="K183" s="94"/>
      <c r="L183" s="121"/>
      <c r="M183" s="99"/>
    </row>
    <row r="184" spans="2:13" ht="15" customHeight="1" x14ac:dyDescent="0.35">
      <c r="C184" s="656" t="s">
        <v>97</v>
      </c>
      <c r="D184" s="656"/>
      <c r="E184" s="656"/>
      <c r="F184" s="656"/>
      <c r="G184" s="656"/>
      <c r="H184" s="656"/>
      <c r="I184" s="656"/>
      <c r="J184" s="656"/>
      <c r="K184" s="656"/>
      <c r="L184" s="656"/>
      <c r="M184" s="656"/>
    </row>
    <row r="185" spans="2:13" x14ac:dyDescent="0.35">
      <c r="C185" s="656"/>
      <c r="D185" s="656"/>
      <c r="E185" s="656"/>
      <c r="F185" s="656"/>
      <c r="G185" s="656"/>
      <c r="H185" s="656"/>
      <c r="I185" s="656"/>
      <c r="J185" s="656"/>
      <c r="K185" s="656"/>
      <c r="L185" s="656"/>
      <c r="M185" s="656"/>
    </row>
    <row r="186" spans="2:13" ht="4.5" customHeight="1" x14ac:dyDescent="0.35">
      <c r="C186" s="110"/>
      <c r="D186" s="110"/>
      <c r="E186" s="110"/>
      <c r="F186" s="110"/>
      <c r="G186" s="110"/>
      <c r="H186" s="110"/>
      <c r="I186" s="110"/>
      <c r="J186" s="110"/>
      <c r="K186" s="110"/>
      <c r="L186" s="110"/>
      <c r="M186" s="110"/>
    </row>
    <row r="187" spans="2:13" x14ac:dyDescent="0.35">
      <c r="E187" s="86" t="s">
        <v>90</v>
      </c>
      <c r="G187" s="604" t="s">
        <v>95</v>
      </c>
      <c r="H187" s="605"/>
      <c r="I187" s="605"/>
      <c r="J187" s="605"/>
      <c r="K187" s="605"/>
      <c r="L187" s="606"/>
    </row>
    <row r="188" spans="2:13" x14ac:dyDescent="0.35">
      <c r="G188" s="83"/>
      <c r="H188" s="83"/>
      <c r="I188" s="83"/>
      <c r="J188" s="83"/>
      <c r="K188" s="83"/>
      <c r="L188" s="83"/>
    </row>
    <row r="189" spans="2:13" x14ac:dyDescent="0.35">
      <c r="B189" s="94">
        <v>17</v>
      </c>
      <c r="C189" s="95" t="s">
        <v>98</v>
      </c>
      <c r="D189" s="95"/>
      <c r="E189" s="96"/>
      <c r="F189" s="95"/>
      <c r="G189" s="95"/>
      <c r="H189" s="95"/>
      <c r="I189" s="95"/>
      <c r="J189" s="95"/>
      <c r="K189" s="95"/>
      <c r="L189" s="97"/>
      <c r="M189" s="98" cm="1">
        <f t="array" ref="M189">IF(OR(COUNTIF($K$193,"*"&amp;jcListAll[jcListAll]&amp;"*")), 1, 0)</f>
        <v>0</v>
      </c>
    </row>
    <row r="190" spans="2:13" ht="7.5" customHeight="1" x14ac:dyDescent="0.35">
      <c r="C190" s="94"/>
      <c r="D190" s="94"/>
      <c r="E190" s="94"/>
      <c r="F190" s="94"/>
      <c r="G190" s="94"/>
      <c r="H190" s="94"/>
      <c r="I190" s="94"/>
      <c r="J190" s="94"/>
      <c r="K190" s="94"/>
      <c r="L190" s="121"/>
      <c r="M190" s="99"/>
    </row>
    <row r="191" spans="2:13" x14ac:dyDescent="0.35">
      <c r="C191" s="657" t="s">
        <v>99</v>
      </c>
      <c r="D191" s="657"/>
      <c r="E191" s="657"/>
      <c r="F191" s="657"/>
      <c r="G191" s="657"/>
      <c r="H191" s="657"/>
      <c r="I191" s="657"/>
      <c r="J191" s="657"/>
      <c r="K191" s="657"/>
      <c r="L191" s="657"/>
      <c r="M191" s="657"/>
    </row>
    <row r="192" spans="2:13" ht="4.5" customHeight="1" x14ac:dyDescent="0.35">
      <c r="C192" s="110"/>
      <c r="D192" s="110"/>
      <c r="E192" s="110"/>
      <c r="F192" s="110"/>
      <c r="G192" s="110"/>
      <c r="H192" s="110"/>
      <c r="I192" s="110"/>
      <c r="J192" s="110"/>
      <c r="K192" s="110"/>
      <c r="L192" s="110"/>
      <c r="M192" s="110"/>
    </row>
    <row r="193" spans="2:13" x14ac:dyDescent="0.35">
      <c r="C193" s="110"/>
      <c r="D193" s="110"/>
      <c r="E193" s="126" t="s">
        <v>100</v>
      </c>
      <c r="F193" s="110"/>
      <c r="G193" s="642" t="s">
        <v>95</v>
      </c>
      <c r="H193" s="643"/>
      <c r="I193" s="644"/>
      <c r="J193" s="110"/>
      <c r="K193" s="642" t="s">
        <v>101</v>
      </c>
      <c r="L193" s="644"/>
      <c r="M193" s="110"/>
    </row>
    <row r="194" spans="2:13" x14ac:dyDescent="0.35">
      <c r="C194" s="110"/>
      <c r="D194" s="110"/>
      <c r="E194" s="110"/>
      <c r="F194" s="110"/>
      <c r="G194" s="144" t="str">
        <f>VLOOKUP(G193,jcLookup[],2, FALSE)</f>
        <v>jcIneligibleList</v>
      </c>
      <c r="H194" s="110"/>
      <c r="I194" s="110"/>
      <c r="J194" s="110"/>
      <c r="K194" s="110"/>
      <c r="L194" s="110"/>
      <c r="M194" s="110"/>
    </row>
    <row r="195" spans="2:13" x14ac:dyDescent="0.35">
      <c r="B195" s="94">
        <v>18</v>
      </c>
      <c r="C195" s="95" t="s">
        <v>102</v>
      </c>
      <c r="D195" s="95"/>
      <c r="E195" s="96"/>
      <c r="F195" s="95"/>
      <c r="G195" s="95"/>
      <c r="H195" s="95"/>
      <c r="I195" s="95"/>
      <c r="J195" s="95"/>
      <c r="K195" s="95"/>
      <c r="L195" s="97"/>
      <c r="M195" s="98">
        <f>IFERROR(VLOOKUP(E200,npSponsorRef[#All], 2, FALSE), 0)</f>
        <v>0</v>
      </c>
    </row>
    <row r="196" spans="2:13" ht="7.15" customHeight="1" x14ac:dyDescent="0.35">
      <c r="C196" s="94"/>
      <c r="D196" s="94"/>
      <c r="E196" s="94"/>
      <c r="F196" s="94"/>
      <c r="G196" s="94"/>
      <c r="H196" s="94"/>
      <c r="I196" s="94"/>
      <c r="J196" s="94"/>
      <c r="K196" s="94"/>
      <c r="L196" s="121"/>
      <c r="M196" s="99"/>
    </row>
    <row r="197" spans="2:13" x14ac:dyDescent="0.35">
      <c r="C197" s="641" t="s">
        <v>103</v>
      </c>
      <c r="D197" s="641"/>
      <c r="E197" s="641"/>
      <c r="F197" s="641"/>
      <c r="G197" s="641"/>
      <c r="H197" s="641"/>
      <c r="I197" s="641"/>
      <c r="J197" s="641"/>
      <c r="K197" s="641"/>
      <c r="L197" s="641"/>
      <c r="M197" s="641"/>
    </row>
    <row r="198" spans="2:13" x14ac:dyDescent="0.35">
      <c r="C198" s="641"/>
      <c r="D198" s="641"/>
      <c r="E198" s="641"/>
      <c r="F198" s="641"/>
      <c r="G198" s="641"/>
      <c r="H198" s="641"/>
      <c r="I198" s="641"/>
      <c r="J198" s="641"/>
      <c r="K198" s="641"/>
      <c r="L198" s="641"/>
      <c r="M198" s="641"/>
    </row>
    <row r="199" spans="2:13" ht="4.5" customHeight="1" x14ac:dyDescent="0.35">
      <c r="C199" s="110"/>
      <c r="D199" s="110"/>
      <c r="E199" s="110"/>
      <c r="F199" s="110"/>
      <c r="G199" s="110"/>
      <c r="H199" s="110"/>
      <c r="I199" s="110"/>
      <c r="J199" s="110"/>
      <c r="K199" s="110"/>
      <c r="L199" s="110"/>
      <c r="M199" s="110"/>
    </row>
    <row r="200" spans="2:13" x14ac:dyDescent="0.35">
      <c r="C200" s="94"/>
      <c r="D200" s="94"/>
      <c r="E200" s="604" t="s">
        <v>21</v>
      </c>
      <c r="F200" s="605"/>
      <c r="G200" s="605"/>
      <c r="H200" s="605"/>
      <c r="I200" s="606"/>
      <c r="J200" s="94"/>
      <c r="K200" s="143"/>
      <c r="L200" s="121"/>
      <c r="M200" s="99"/>
    </row>
    <row r="201" spans="2:13" x14ac:dyDescent="0.35">
      <c r="C201" s="94"/>
      <c r="D201" s="94"/>
      <c r="E201" s="83"/>
      <c r="F201" s="83"/>
      <c r="G201" s="83"/>
      <c r="H201" s="83"/>
      <c r="I201" s="83"/>
      <c r="J201" s="94"/>
      <c r="K201" s="143"/>
      <c r="L201" s="121"/>
      <c r="M201" s="99"/>
    </row>
    <row r="202" spans="2:13" x14ac:dyDescent="0.35">
      <c r="B202" s="94">
        <v>19</v>
      </c>
      <c r="C202" s="95" t="s">
        <v>104</v>
      </c>
      <c r="D202" s="95"/>
      <c r="E202" s="96"/>
      <c r="F202" s="95"/>
      <c r="G202" s="95"/>
      <c r="H202" s="95"/>
      <c r="I202" s="95"/>
      <c r="J202" s="95"/>
      <c r="K202" s="95"/>
      <c r="L202" s="97"/>
      <c r="M202" s="98">
        <f>IFERROR(VLOOKUP(E206,npDonationRef[#All], 2, FALSE), 0)</f>
        <v>0</v>
      </c>
    </row>
    <row r="203" spans="2:13" ht="7.5" customHeight="1" x14ac:dyDescent="0.35">
      <c r="C203" s="94"/>
      <c r="D203" s="94"/>
      <c r="E203" s="94"/>
      <c r="F203" s="94"/>
      <c r="G203" s="94"/>
      <c r="H203" s="94"/>
      <c r="I203" s="94"/>
      <c r="J203" s="94"/>
      <c r="K203" s="94"/>
      <c r="L203" s="121"/>
      <c r="M203" s="99"/>
    </row>
    <row r="204" spans="2:13" ht="26.25" customHeight="1" x14ac:dyDescent="0.35">
      <c r="C204" s="641" t="s">
        <v>105</v>
      </c>
      <c r="D204" s="641"/>
      <c r="E204" s="641"/>
      <c r="F204" s="641"/>
      <c r="G204" s="641"/>
      <c r="H204" s="641"/>
      <c r="I204" s="641"/>
      <c r="J204" s="641"/>
      <c r="K204" s="641"/>
      <c r="L204" s="641"/>
      <c r="M204" s="641"/>
    </row>
    <row r="205" spans="2:13" ht="4.5" customHeight="1" x14ac:dyDescent="0.35">
      <c r="C205" s="110"/>
      <c r="D205" s="110"/>
      <c r="E205" s="110"/>
      <c r="F205" s="110"/>
      <c r="G205" s="110"/>
      <c r="H205" s="110"/>
      <c r="I205" s="110"/>
      <c r="J205" s="110"/>
      <c r="K205" s="110"/>
      <c r="L205" s="110"/>
      <c r="M205" s="110"/>
    </row>
    <row r="206" spans="2:13" x14ac:dyDescent="0.35">
      <c r="C206" s="110"/>
      <c r="D206" s="110"/>
      <c r="E206" s="604" t="s">
        <v>106</v>
      </c>
      <c r="F206" s="605"/>
      <c r="G206" s="605"/>
      <c r="H206" s="605"/>
      <c r="I206" s="606"/>
      <c r="J206" s="110"/>
      <c r="K206" s="110"/>
      <c r="L206" s="110"/>
      <c r="M206" s="110"/>
    </row>
    <row r="207" spans="2:13" x14ac:dyDescent="0.35">
      <c r="E207" s="100"/>
    </row>
    <row r="208" spans="2:13" x14ac:dyDescent="0.35">
      <c r="B208" s="94">
        <v>20</v>
      </c>
      <c r="C208" s="95" t="s">
        <v>107</v>
      </c>
      <c r="D208" s="95"/>
      <c r="E208" s="96"/>
      <c r="F208" s="95"/>
      <c r="G208" s="95"/>
      <c r="H208" s="95"/>
      <c r="I208" s="95"/>
      <c r="J208" s="95"/>
      <c r="K208" s="95"/>
      <c r="L208" s="97"/>
      <c r="M208" s="98">
        <f>IFERROR(VLOOKUP(E213, etoRef[#All], 2, FALSE), 0)</f>
        <v>0</v>
      </c>
    </row>
    <row r="209" spans="2:13" ht="7.5" customHeight="1" x14ac:dyDescent="0.35">
      <c r="C209" s="94"/>
      <c r="D209" s="94"/>
      <c r="E209" s="94"/>
      <c r="F209" s="94"/>
      <c r="G209" s="94"/>
      <c r="H209" s="94"/>
      <c r="I209" s="94"/>
      <c r="J209" s="94"/>
      <c r="K209" s="94"/>
      <c r="L209" s="121"/>
      <c r="M209" s="99"/>
    </row>
    <row r="210" spans="2:13" ht="15" customHeight="1" x14ac:dyDescent="0.35">
      <c r="C210" s="603" t="s">
        <v>784</v>
      </c>
      <c r="D210" s="603"/>
      <c r="E210" s="603"/>
      <c r="F210" s="603"/>
      <c r="G210" s="603"/>
      <c r="H210" s="603"/>
      <c r="I210" s="603"/>
      <c r="J210" s="603"/>
      <c r="K210" s="603"/>
      <c r="L210" s="603"/>
      <c r="M210" s="603"/>
    </row>
    <row r="211" spans="2:13" x14ac:dyDescent="0.35">
      <c r="C211" s="603"/>
      <c r="D211" s="603"/>
      <c r="E211" s="603"/>
      <c r="F211" s="603"/>
      <c r="G211" s="603"/>
      <c r="H211" s="603"/>
      <c r="I211" s="603"/>
      <c r="J211" s="603"/>
      <c r="K211" s="603"/>
      <c r="L211" s="603"/>
      <c r="M211" s="603"/>
    </row>
    <row r="212" spans="2:13" ht="4.5" customHeight="1" x14ac:dyDescent="0.35">
      <c r="C212" s="591"/>
      <c r="D212" s="591"/>
      <c r="E212" s="591"/>
      <c r="F212" s="591"/>
      <c r="G212" s="591"/>
      <c r="H212" s="591"/>
      <c r="I212" s="591"/>
      <c r="J212" s="591"/>
      <c r="K212" s="591"/>
      <c r="L212" s="591"/>
      <c r="M212" s="591"/>
    </row>
    <row r="213" spans="2:13" x14ac:dyDescent="0.35">
      <c r="C213" s="590"/>
      <c r="D213" s="590"/>
      <c r="E213" s="604" t="s">
        <v>21</v>
      </c>
      <c r="F213" s="605"/>
      <c r="G213" s="605"/>
      <c r="H213" s="605"/>
      <c r="I213" s="606"/>
      <c r="J213" s="590"/>
      <c r="K213" s="590"/>
      <c r="L213" s="590"/>
      <c r="M213" s="590"/>
    </row>
    <row r="214" spans="2:13" x14ac:dyDescent="0.35">
      <c r="C214" s="145"/>
      <c r="D214" s="145"/>
      <c r="E214" s="145"/>
      <c r="F214" s="145"/>
      <c r="G214" s="145"/>
      <c r="H214" s="145"/>
      <c r="I214" s="145"/>
      <c r="J214" s="145"/>
      <c r="K214" s="145"/>
      <c r="L214" s="145"/>
      <c r="M214" s="145"/>
    </row>
    <row r="215" spans="2:13" x14ac:dyDescent="0.35">
      <c r="B215" s="94">
        <v>21</v>
      </c>
      <c r="C215" s="95" t="s">
        <v>108</v>
      </c>
      <c r="D215" s="95"/>
      <c r="E215" s="96"/>
      <c r="F215" s="95"/>
      <c r="G215" s="95"/>
      <c r="H215" s="95"/>
      <c r="I215" s="95"/>
      <c r="J215" s="95"/>
      <c r="K215" s="95"/>
      <c r="L215" s="97"/>
      <c r="M215" s="98">
        <f>IFERROR(VLOOKUP(E219,energyEfficiencyRef[#All], 2, FALSE), 0)</f>
        <v>0</v>
      </c>
    </row>
    <row r="216" spans="2:13" ht="7.5" customHeight="1" x14ac:dyDescent="0.35">
      <c r="C216" s="94"/>
      <c r="D216" s="94"/>
      <c r="E216" s="94"/>
      <c r="F216" s="94"/>
      <c r="G216" s="94"/>
      <c r="H216" s="94"/>
      <c r="I216" s="94"/>
      <c r="J216" s="94"/>
      <c r="K216" s="94"/>
      <c r="L216" s="121"/>
      <c r="M216" s="99"/>
    </row>
    <row r="217" spans="2:13" ht="48" customHeight="1" x14ac:dyDescent="0.35">
      <c r="C217" s="645" t="s">
        <v>783</v>
      </c>
      <c r="D217" s="645"/>
      <c r="E217" s="645"/>
      <c r="F217" s="645"/>
      <c r="G217" s="645"/>
      <c r="H217" s="645"/>
      <c r="I217" s="645"/>
      <c r="J217" s="645"/>
      <c r="K217" s="645"/>
      <c r="L217" s="645"/>
      <c r="M217" s="645"/>
    </row>
    <row r="218" spans="2:13" ht="4.5" customHeight="1" x14ac:dyDescent="0.35">
      <c r="C218" s="645"/>
      <c r="D218" s="645"/>
      <c r="E218" s="645"/>
      <c r="F218" s="645"/>
      <c r="G218" s="645"/>
      <c r="H218" s="645"/>
      <c r="I218" s="645"/>
      <c r="J218" s="645"/>
      <c r="K218" s="645"/>
      <c r="L218" s="645"/>
      <c r="M218" s="645"/>
    </row>
    <row r="219" spans="2:13" ht="15" customHeight="1" x14ac:dyDescent="0.35">
      <c r="C219" s="125"/>
      <c r="D219" s="110"/>
      <c r="E219" s="604" t="s">
        <v>21</v>
      </c>
      <c r="F219" s="605"/>
      <c r="G219" s="605"/>
      <c r="H219" s="605"/>
      <c r="I219" s="606"/>
      <c r="J219" s="125"/>
      <c r="K219" s="125"/>
      <c r="L219" s="125"/>
      <c r="M219" s="125"/>
    </row>
    <row r="220" spans="2:13" ht="15" customHeight="1" x14ac:dyDescent="0.35">
      <c r="C220" s="125"/>
      <c r="D220" s="125"/>
      <c r="E220" s="125"/>
      <c r="F220" s="125"/>
      <c r="G220" s="125"/>
      <c r="H220" s="125"/>
      <c r="I220" s="125"/>
      <c r="J220" s="125"/>
      <c r="K220" s="125"/>
      <c r="L220" s="125"/>
      <c r="M220" s="125"/>
    </row>
    <row r="221" spans="2:13" x14ac:dyDescent="0.35">
      <c r="B221" s="94" t="s">
        <v>109</v>
      </c>
      <c r="C221" s="95" t="s">
        <v>110</v>
      </c>
      <c r="D221" s="95"/>
      <c r="E221" s="96"/>
      <c r="F221" s="95"/>
      <c r="G221" s="95"/>
      <c r="H221" s="95"/>
      <c r="I221" s="95"/>
      <c r="J221" s="95"/>
      <c r="K221" s="95"/>
      <c r="L221" s="97"/>
      <c r="M221" s="98">
        <f>IF(K230&gt;0.1,6,IF(AND(K230&gt;0.05,K230&lt;=0.1),3,IF(AND(K230&gt;0,K230&lt;=0.05),1,0)))</f>
        <v>0</v>
      </c>
    </row>
    <row r="222" spans="2:13" ht="7.5" customHeight="1" x14ac:dyDescent="0.35">
      <c r="C222" s="94"/>
      <c r="D222" s="94"/>
      <c r="E222" s="94"/>
      <c r="F222" s="94"/>
      <c r="G222" s="94"/>
      <c r="H222" s="94"/>
      <c r="I222" s="94"/>
      <c r="J222" s="94"/>
      <c r="K222" s="94"/>
      <c r="L222" s="121"/>
      <c r="M222" s="99"/>
    </row>
    <row r="223" spans="2:13" ht="15" customHeight="1" x14ac:dyDescent="0.35">
      <c r="C223" s="637" t="s">
        <v>111</v>
      </c>
      <c r="D223" s="637"/>
      <c r="E223" s="637"/>
      <c r="F223" s="637"/>
      <c r="G223" s="637"/>
      <c r="H223" s="637"/>
      <c r="I223" s="637"/>
      <c r="J223" s="637"/>
      <c r="K223" s="637"/>
      <c r="L223" s="637"/>
      <c r="M223" s="637"/>
    </row>
    <row r="224" spans="2:13" ht="15" customHeight="1" x14ac:dyDescent="0.35">
      <c r="C224" s="637" t="s">
        <v>112</v>
      </c>
      <c r="D224" s="637"/>
      <c r="E224" s="637"/>
      <c r="F224" s="637"/>
      <c r="G224" s="637"/>
      <c r="H224" s="637"/>
      <c r="I224" s="637"/>
      <c r="J224" s="637"/>
      <c r="K224" s="637"/>
      <c r="L224" s="637"/>
      <c r="M224" s="637"/>
    </row>
    <row r="225" spans="2:14" ht="15" customHeight="1" x14ac:dyDescent="0.35">
      <c r="C225" s="637" t="s">
        <v>113</v>
      </c>
      <c r="D225" s="637"/>
      <c r="E225" s="637"/>
      <c r="F225" s="637"/>
      <c r="G225" s="637"/>
      <c r="H225" s="637"/>
      <c r="I225" s="637"/>
      <c r="J225" s="637"/>
      <c r="K225" s="637"/>
      <c r="L225" s="637"/>
      <c r="M225" s="637"/>
    </row>
    <row r="226" spans="2:14" ht="4.5" customHeight="1" x14ac:dyDescent="0.35">
      <c r="C226" s="110"/>
      <c r="D226" s="110"/>
      <c r="E226" s="110"/>
      <c r="F226" s="110"/>
      <c r="G226" s="110"/>
      <c r="H226" s="110"/>
      <c r="I226" s="110"/>
      <c r="J226" s="110"/>
      <c r="K226" s="110"/>
      <c r="L226" s="110"/>
      <c r="M226" s="110"/>
    </row>
    <row r="227" spans="2:14" x14ac:dyDescent="0.35">
      <c r="C227" s="126" t="s">
        <v>114</v>
      </c>
      <c r="D227" s="110"/>
      <c r="E227" s="110"/>
      <c r="F227" s="110"/>
      <c r="G227" s="110"/>
      <c r="H227" s="110"/>
      <c r="I227" s="634">
        <f>'TDC Limit'!M23</f>
        <v>0</v>
      </c>
      <c r="J227" s="635"/>
      <c r="K227" s="636"/>
      <c r="L227" s="110"/>
      <c r="M227" s="110"/>
    </row>
    <row r="228" spans="2:14" x14ac:dyDescent="0.35">
      <c r="C228" s="126" t="s">
        <v>115</v>
      </c>
      <c r="D228" s="126"/>
      <c r="I228" s="107"/>
      <c r="J228" s="108"/>
      <c r="K228" s="146">
        <f>'TDC Limit'!M29</f>
        <v>0</v>
      </c>
    </row>
    <row r="229" spans="2:14" x14ac:dyDescent="0.35">
      <c r="C229" s="126" t="s">
        <v>116</v>
      </c>
      <c r="D229" s="126"/>
      <c r="E229" s="126"/>
      <c r="F229" s="126"/>
      <c r="G229" s="126"/>
      <c r="H229" s="126"/>
      <c r="J229" s="112"/>
      <c r="K229" s="593"/>
    </row>
    <row r="230" spans="2:14" x14ac:dyDescent="0.35">
      <c r="C230" s="126" t="s">
        <v>117</v>
      </c>
      <c r="D230" s="126"/>
      <c r="J230" s="112"/>
      <c r="K230" s="147">
        <f>IFERROR(1-(K228-K229)/I227, 0)</f>
        <v>0</v>
      </c>
    </row>
    <row r="231" spans="2:14" ht="15" customHeight="1" thickBot="1" x14ac:dyDescent="0.4"/>
    <row r="232" spans="2:14" ht="19.5" customHeight="1" thickTop="1" thickBot="1" x14ac:dyDescent="0.4">
      <c r="B232" s="148"/>
      <c r="C232" s="149" t="s">
        <v>118</v>
      </c>
      <c r="D232" s="150"/>
      <c r="E232" s="148"/>
      <c r="F232" s="148"/>
      <c r="G232" s="148"/>
      <c r="H232" s="148"/>
      <c r="I232" s="148"/>
      <c r="J232" s="148"/>
      <c r="K232" s="148"/>
      <c r="L232" s="148"/>
      <c r="M232" s="151">
        <f>M14+M28+M34+M63+M95+M103+M112+M119+M125+M137+M148+M154+M161+M168+M175+M182+M189+M195+M202+M208+M215+M221</f>
        <v>0</v>
      </c>
    </row>
    <row r="233" spans="2:14" ht="15" thickTop="1" x14ac:dyDescent="0.35"/>
    <row r="234" spans="2:14" x14ac:dyDescent="0.35">
      <c r="B234" s="94" t="s">
        <v>119</v>
      </c>
      <c r="C234" s="95" t="s">
        <v>110</v>
      </c>
      <c r="D234" s="95"/>
      <c r="E234" s="96"/>
      <c r="F234" s="95"/>
      <c r="G234" s="95"/>
      <c r="H234" s="95"/>
      <c r="I234" s="95"/>
      <c r="J234" s="95"/>
      <c r="K234" s="95"/>
      <c r="L234" s="152"/>
      <c r="M234" s="98">
        <v>0</v>
      </c>
      <c r="N234" s="153"/>
    </row>
    <row r="235" spans="2:14" ht="7.5" customHeight="1" x14ac:dyDescent="0.35">
      <c r="C235" s="94"/>
      <c r="D235" s="94"/>
      <c r="E235" s="94"/>
      <c r="F235" s="94"/>
      <c r="G235" s="94"/>
      <c r="H235" s="94"/>
      <c r="I235" s="94"/>
      <c r="J235" s="94"/>
      <c r="K235" s="94"/>
      <c r="L235" s="121"/>
      <c r="M235" s="154"/>
    </row>
    <row r="236" spans="2:14" ht="15" customHeight="1" x14ac:dyDescent="0.35">
      <c r="C236" s="637" t="s">
        <v>120</v>
      </c>
      <c r="D236" s="637"/>
      <c r="E236" s="637"/>
      <c r="F236" s="637"/>
      <c r="G236" s="637"/>
      <c r="H236" s="637"/>
      <c r="I236" s="637"/>
      <c r="J236" s="637"/>
      <c r="K236" s="637"/>
      <c r="L236" s="637"/>
      <c r="M236" s="637"/>
    </row>
    <row r="237" spans="2:14" ht="4.5" customHeight="1" x14ac:dyDescent="0.35">
      <c r="C237" s="110"/>
      <c r="D237" s="110"/>
      <c r="E237" s="110"/>
      <c r="F237" s="110"/>
      <c r="G237" s="110"/>
      <c r="H237" s="110"/>
      <c r="I237" s="110"/>
      <c r="J237" s="110"/>
      <c r="K237" s="110"/>
      <c r="L237" s="110"/>
      <c r="M237" s="110"/>
    </row>
    <row r="238" spans="2:14" x14ac:dyDescent="0.35">
      <c r="C238" s="126" t="s">
        <v>115</v>
      </c>
      <c r="D238" s="126"/>
      <c r="J238" s="112"/>
      <c r="K238" s="155">
        <f>'TDC Limit'!M29</f>
        <v>0</v>
      </c>
      <c r="L238" s="153"/>
    </row>
    <row r="239" spans="2:14" x14ac:dyDescent="0.35">
      <c r="C239" s="126" t="s">
        <v>121</v>
      </c>
      <c r="D239" s="126"/>
      <c r="J239" s="112"/>
      <c r="K239" s="75">
        <v>0</v>
      </c>
    </row>
    <row r="240" spans="2:14" x14ac:dyDescent="0.35">
      <c r="C240" s="126" t="s">
        <v>122</v>
      </c>
      <c r="D240" s="126"/>
      <c r="J240" s="112"/>
      <c r="K240" s="76">
        <f>IFERROR(K238/K239,0)</f>
        <v>0</v>
      </c>
    </row>
    <row r="241" spans="2:13" ht="15" thickBot="1" x14ac:dyDescent="0.4">
      <c r="K241" s="156"/>
    </row>
    <row r="242" spans="2:13" ht="19.5" customHeight="1" thickTop="1" thickBot="1" x14ac:dyDescent="0.4">
      <c r="B242" s="148"/>
      <c r="C242" s="149" t="s">
        <v>123</v>
      </c>
      <c r="D242" s="150"/>
      <c r="E242" s="148"/>
      <c r="F242" s="148"/>
      <c r="G242" s="148"/>
      <c r="H242" s="148"/>
      <c r="I242" s="148"/>
      <c r="J242" s="148"/>
      <c r="K242" s="148"/>
      <c r="L242" s="148"/>
      <c r="M242" s="151">
        <f>SUM(M232,M234)</f>
        <v>0</v>
      </c>
    </row>
    <row r="243" spans="2:13" ht="15" thickTop="1" x14ac:dyDescent="0.35">
      <c r="J243" s="646" t="s">
        <v>124</v>
      </c>
      <c r="K243" s="646"/>
      <c r="L243" s="646"/>
    </row>
    <row r="244" spans="2:13" x14ac:dyDescent="0.35">
      <c r="L244" s="157" t="s">
        <v>125</v>
      </c>
      <c r="M244" s="601">
        <v>160</v>
      </c>
    </row>
    <row r="245" spans="2:13" x14ac:dyDescent="0.35">
      <c r="L245" s="157" t="s">
        <v>126</v>
      </c>
      <c r="M245" s="158">
        <v>158</v>
      </c>
    </row>
    <row r="246" spans="2:13" x14ac:dyDescent="0.35">
      <c r="L246" s="157" t="s">
        <v>127</v>
      </c>
      <c r="M246" s="123">
        <v>154</v>
      </c>
    </row>
  </sheetData>
  <sheetProtection formatCells="0" formatColumns="0" formatRows="0"/>
  <mergeCells count="72">
    <mergeCell ref="E55:M55"/>
    <mergeCell ref="C156:M157"/>
    <mergeCell ref="I107:L107"/>
    <mergeCell ref="C127:M128"/>
    <mergeCell ref="C139:M140"/>
    <mergeCell ref="C65:M65"/>
    <mergeCell ref="G70:L70"/>
    <mergeCell ref="K67:L67"/>
    <mergeCell ref="I108:L108"/>
    <mergeCell ref="C153:M153"/>
    <mergeCell ref="G73:L73"/>
    <mergeCell ref="G79:L79"/>
    <mergeCell ref="G91:L91"/>
    <mergeCell ref="G81:L81"/>
    <mergeCell ref="G82:L82"/>
    <mergeCell ref="G84:L84"/>
    <mergeCell ref="G85:L85"/>
    <mergeCell ref="G75:L75"/>
    <mergeCell ref="G76:L76"/>
    <mergeCell ref="G78:L78"/>
    <mergeCell ref="I135:L135"/>
    <mergeCell ref="C114:M114"/>
    <mergeCell ref="I116:L116"/>
    <mergeCell ref="I117:L117"/>
    <mergeCell ref="J243:L243"/>
    <mergeCell ref="I109:L109"/>
    <mergeCell ref="I131:L132"/>
    <mergeCell ref="C236:M236"/>
    <mergeCell ref="C204:M204"/>
    <mergeCell ref="C170:M171"/>
    <mergeCell ref="G173:L173"/>
    <mergeCell ref="C177:M178"/>
    <mergeCell ref="G180:L180"/>
    <mergeCell ref="C191:M191"/>
    <mergeCell ref="C184:M185"/>
    <mergeCell ref="G187:L187"/>
    <mergeCell ref="E200:I200"/>
    <mergeCell ref="C225:M225"/>
    <mergeCell ref="C150:M151"/>
    <mergeCell ref="E206:I206"/>
    <mergeCell ref="I227:K227"/>
    <mergeCell ref="C223:M223"/>
    <mergeCell ref="C224:M224"/>
    <mergeCell ref="I133:L133"/>
    <mergeCell ref="E123:F123"/>
    <mergeCell ref="C197:M198"/>
    <mergeCell ref="G159:L159"/>
    <mergeCell ref="E142:M142"/>
    <mergeCell ref="G193:I193"/>
    <mergeCell ref="K193:L193"/>
    <mergeCell ref="C163:M164"/>
    <mergeCell ref="G166:L166"/>
    <mergeCell ref="G152:I152"/>
    <mergeCell ref="I134:L134"/>
    <mergeCell ref="C217:M218"/>
    <mergeCell ref="E219:I219"/>
    <mergeCell ref="C210:M211"/>
    <mergeCell ref="E213:I213"/>
    <mergeCell ref="B1:M1"/>
    <mergeCell ref="E40:M40"/>
    <mergeCell ref="E53:M53"/>
    <mergeCell ref="B3:M10"/>
    <mergeCell ref="E32:F32"/>
    <mergeCell ref="E47:M47"/>
    <mergeCell ref="E12:F12"/>
    <mergeCell ref="M12:M13"/>
    <mergeCell ref="H17:M17"/>
    <mergeCell ref="H18:M18"/>
    <mergeCell ref="D17:E17"/>
    <mergeCell ref="I110:L110"/>
    <mergeCell ref="G69:L69"/>
    <mergeCell ref="G72:L72"/>
  </mergeCells>
  <dataValidations count="33">
    <dataValidation type="list" allowBlank="1" showInputMessage="1" sqref="E32:F32" xr:uid="{00000000-0002-0000-0100-000000000000}">
      <formula1>Years</formula1>
    </dataValidation>
    <dataValidation type="list" allowBlank="1" showInputMessage="1" showErrorMessage="1" sqref="E200:I200" xr:uid="{00000000-0002-0000-0100-000001000000}">
      <formula1>NPSponsor</formula1>
    </dataValidation>
    <dataValidation type="list" allowBlank="1" showInputMessage="1" showErrorMessage="1" sqref="E123:F123" xr:uid="{00000000-0002-0000-0100-000002000000}">
      <formula1>DevFees</formula1>
    </dataValidation>
    <dataValidation type="list" allowBlank="1" showInputMessage="1" showErrorMessage="1" sqref="E142:M142" xr:uid="{00000000-0002-0000-0100-000003000000}">
      <formula1>Historic</formula1>
    </dataValidation>
    <dataValidation type="list" allowBlank="1" showInputMessage="1" showErrorMessage="1" sqref="E22:E23 E25" xr:uid="{00000000-0002-0000-0100-000006000000}">
      <formula1>Inc_percent</formula1>
    </dataValidation>
    <dataValidation type="list" allowBlank="1" showInputMessage="1" sqref="E40:M40" xr:uid="{00000000-0002-0000-0100-000007000000}">
      <formula1>Homeless75</formula1>
    </dataValidation>
    <dataValidation type="list" allowBlank="1" showInputMessage="1" showErrorMessage="1" sqref="E53:M53 E55:M55" xr:uid="{00000000-0002-0000-0100-000008000000}">
      <formula1>SpecNeeds20</formula1>
    </dataValidation>
    <dataValidation type="list" allowBlank="1" showInputMessage="1" showErrorMessage="1" sqref="G173:L173 G166:L166 G68:L68 G74:L74 G80:L80" xr:uid="{00000000-0002-0000-0100-000009000000}">
      <formula1>local_funding_counties</formula1>
    </dataValidation>
    <dataValidation type="list" allowBlank="1" showInputMessage="1" showErrorMessage="1" sqref="G159:L159" xr:uid="{00000000-0002-0000-0100-00000B000000}">
      <formula1>location_eff</formula1>
    </dataValidation>
    <dataValidation type="list" allowBlank="1" showInputMessage="1" showErrorMessage="1" sqref="G180:L180" xr:uid="{00000000-0002-0000-0100-00000C000000}">
      <formula1>KC_only</formula1>
    </dataValidation>
    <dataValidation type="list" allowBlank="1" showInputMessage="1" showErrorMessage="1" sqref="G193:I193" xr:uid="{00000000-0002-0000-0100-00000D000000}">
      <formula1>in_within</formula1>
    </dataValidation>
    <dataValidation operator="notBetween" allowBlank="1" showInputMessage="1" error="Award must be at least $750,000." sqref="K99:K100" xr:uid="{00000000-0002-0000-0100-000011000000}"/>
    <dataValidation type="list" allowBlank="1" showInputMessage="1" showErrorMessage="1" sqref="G187:L187" xr:uid="{00000000-0002-0000-0100-000012000000}">
      <formula1>KC_OppArea</formula1>
    </dataValidation>
    <dataValidation type="list" allowBlank="1" showInputMessage="1" showErrorMessage="1" sqref="G91:L91" xr:uid="{00000000-0002-0000-0100-000013000000}">
      <formula1>local_funding_sources</formula1>
    </dataValidation>
    <dataValidation operator="notBetween" allowBlank="1" showInputMessage="1" error="." sqref="K101" xr:uid="{00000000-0002-0000-0100-000014000000}"/>
    <dataValidation allowBlank="1" showInputMessage="1" showErrorMessage="1" promptTitle="Rounding Rule (6.1.1)" prompt="If the percentage of units being set-aside is not a whole number (i.e., 50% of 25 units = 12.5 units), begin with rounding the lowest income set-aside up to the next whole number. Remaining units should be assigned to the highest income set-aside." sqref="I22:I25" xr:uid="{A3B60483-2FC6-412B-9B0A-CE221A6C52F9}"/>
    <dataValidation allowBlank="1" showInputMessage="1" showErrorMessage="1" prompt="Excludes any common area/manager's units." sqref="I26" xr:uid="{FED5A7A9-D370-47D1-A2AC-650E40506CE7}"/>
    <dataValidation allowBlank="1" showInputMessage="1" showErrorMessage="1" promptTitle="Units with PBRA" prompt="0-10% units = 0 points_x000a_10%-25% units = 2 points_x000a_26%-49% units = 3 points_x000a_50% or more units = 4 points" sqref="M103" xr:uid="{CC5E6260-ED3C-403A-8ECA-515C4B6CA900}"/>
    <dataValidation type="whole" showInputMessage="1" showErrorMessage="1" sqref="I108:L108" xr:uid="{40A44396-5925-4BCC-8D7F-754B1A9FC632}">
      <formula1>0</formula1>
      <formula2>10000000000</formula2>
    </dataValidation>
    <dataValidation type="whole" allowBlank="1" showInputMessage="1" showErrorMessage="1" sqref="I135:L136 L144 L145" xr:uid="{8204AD70-50FC-4571-A57B-F230EAC60E50}">
      <formula1>0</formula1>
      <formula2>10000000000</formula2>
    </dataValidation>
    <dataValidation allowBlank="1" showInputMessage="1" showErrorMessage="1" promptTitle="Units at Risk" prompt="79 units or less = 4 points_x000a_80 units or more = 6 points" sqref="M125" xr:uid="{DB255D83-67B6-4045-93DA-499E43A629D2}"/>
    <dataValidation type="list" allowBlank="1" showInputMessage="1" showErrorMessage="1" prompt="Projects claiming these points are ineligible for the following: Location Efficient Projects, Area Targeted by a Local Jurisdiction, Community Revalization Plan, Transit Oriented Development, Job Centers, and High Opportunity Areas." sqref="G152:I152" xr:uid="{C97CC871-E88D-4A03-9187-767F4B14A011}">
      <formula1>eligible_tribes</formula1>
    </dataValidation>
    <dataValidation type="decimal" allowBlank="1" showInputMessage="1" showErrorMessage="1" sqref="G70:L70 G73:L73 G76:L76 G79:L79 G82:L82 G85:L85" xr:uid="{10147D3A-BBDC-4316-BF48-73088AB3027E}">
      <formula1>0</formula1>
      <formula2>1E+25</formula2>
    </dataValidation>
    <dataValidation type="decimal" allowBlank="1" showInputMessage="1" showErrorMessage="1" sqref="K67:L67" xr:uid="{EE41F40B-F2A5-4433-86E6-105311587CB3}">
      <formula1>0</formula1>
      <formula2>1E+26</formula2>
    </dataValidation>
    <dataValidation type="list" allowBlank="1" sqref="K193:L193" xr:uid="{C1508769-DE5A-44DF-B1F2-31CFF241C3D0}">
      <formula1>INDIRECT(G194)</formula1>
    </dataValidation>
    <dataValidation type="list" allowBlank="1" showInputMessage="1" showErrorMessage="1" sqref="E206:I206" xr:uid="{0ECDDEB8-0247-4284-A49D-166C5FA11254}">
      <formula1>npDonation</formula1>
    </dataValidation>
    <dataValidation allowBlank="1" showInputMessage="1" showErrorMessage="1" prompt="To be completed by the Commission." sqref="M234" xr:uid="{B0EC31B3-63E4-44E5-8F2E-AEE085A80630}"/>
    <dataValidation type="list" allowBlank="1" showInputMessage="1" showErrorMessage="1" sqref="E219:I219" xr:uid="{4E3F21A8-D05C-438E-A957-171142228DF1}">
      <formula1>energyEfficiency</formula1>
    </dataValidation>
    <dataValidation allowBlank="1" showErrorMessage="1" sqref="I16 I27" xr:uid="{779D7322-EFE0-4B59-8FE1-B862CB948124}"/>
    <dataValidation type="list" allowBlank="1" showInputMessage="1" showErrorMessage="1" sqref="H18:M18" xr:uid="{891D9D78-7A3B-49D0-B7D3-C81414DD90ED}">
      <formula1>INDIRECT($O$17)</formula1>
    </dataValidation>
    <dataValidation allowBlank="1" showInputMessage="1" showErrorMessage="1" promptTitle="Calculated cell" prompt="This is a calculated cell" sqref="M14" xr:uid="{1B64173B-808D-4F72-886B-D0F3D3072B92}"/>
    <dataValidation type="list" allowBlank="1" showInputMessage="1" showErrorMessage="1" sqref="E213:I213" xr:uid="{532355A3-C50D-4703-A229-28A4C04B3B3C}">
      <formula1>ETO</formula1>
    </dataValidation>
    <dataValidation allowBlank="1" showInputMessage="1" showErrorMessage="1" prompt="Projects that use project-based rental assistance to establish eligibility for the Local Funding Commitment points are not eligible for points under this policy.  " sqref="I107:L107" xr:uid="{F2E281F0-A240-47D3-BF60-659D7CCFD5D1}"/>
  </dataValidations>
  <pageMargins left="0.7" right="0.7" top="0.75" bottom="0.75" header="0.3" footer="0.3"/>
  <pageSetup scale="79" firstPageNumber="2" orientation="portrait" r:id="rId1"/>
  <headerFooter>
    <oddFooter>&amp;L&amp;A - &amp;P&amp;R2020 WSHFC 9% Addendum</oddFooter>
  </headerFooter>
  <rowBreaks count="3" manualBreakCount="3">
    <brk id="62" max="12" man="1"/>
    <brk id="136" max="12" man="1"/>
    <brk id="188" max="12" man="1"/>
  </rowBreaks>
  <colBreaks count="1" manualBreakCount="1">
    <brk id="13"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_ScoringList!$B$202:$B$204</xm:f>
          </x14:formula1>
          <xm:sqref>I131:L131</xm:sqref>
        </x14:dataValidation>
        <x14:dataValidation type="list" allowBlank="1" showInputMessage="1" showErrorMessage="1" xr:uid="{00000000-0002-0000-0100-000016000000}">
          <x14:formula1>
            <xm:f>_ScoringList!$B$127:$B$128</xm:f>
          </x14:formula1>
          <xm:sqref>E47:M47</xm:sqref>
        </x14:dataValidation>
        <x14:dataValidation type="list" allowBlank="1" showInputMessage="1" showErrorMessage="1" xr:uid="{994E6F82-608C-447D-B325-79D8296A0F4F}">
          <x14:formula1>
            <xm:f>_ScoringList_SetAside!$B$2:$B$41</xm:f>
          </x14:formula1>
          <xm:sqref>H17:M17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83492-31FE-48A8-811F-3212F3E78050}">
  <sheetPr>
    <tabColor theme="6"/>
  </sheetPr>
  <dimension ref="A2:B3"/>
  <sheetViews>
    <sheetView workbookViewId="0"/>
  </sheetViews>
  <sheetFormatPr defaultRowHeight="14.5" x14ac:dyDescent="0.35"/>
  <cols>
    <col min="1" max="1" width="25.453125" customWidth="1"/>
  </cols>
  <sheetData>
    <row r="2" spans="1:2" x14ac:dyDescent="0.35">
      <c r="A2" s="1" t="s">
        <v>128</v>
      </c>
    </row>
    <row r="3" spans="1:2" x14ac:dyDescent="0.35">
      <c r="A3" t="s">
        <v>129</v>
      </c>
      <c r="B3" s="22"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sheetPr>
  <dimension ref="A1:H405"/>
  <sheetViews>
    <sheetView topLeftCell="A121" zoomScaleNormal="100" workbookViewId="0">
      <selection activeCell="B106" sqref="B106"/>
    </sheetView>
  </sheetViews>
  <sheetFormatPr defaultColWidth="9.1796875" defaultRowHeight="14.5" x14ac:dyDescent="0.35"/>
  <cols>
    <col min="1" max="1" width="42" style="15" customWidth="1"/>
    <col min="2" max="2" width="85.26953125" style="15" customWidth="1"/>
    <col min="3" max="3" width="12.81640625" style="15" customWidth="1"/>
    <col min="4" max="4" width="9.453125" style="15" customWidth="1"/>
    <col min="5" max="5" width="13.453125" style="15" customWidth="1"/>
    <col min="6" max="6" width="13.26953125" style="15" customWidth="1"/>
    <col min="7" max="7" width="14.81640625" style="15" customWidth="1"/>
    <col min="8" max="8" width="13.7265625" style="15" customWidth="1"/>
    <col min="9" max="9" width="17.453125" style="15" customWidth="1"/>
    <col min="10" max="10" width="15.453125" style="15" customWidth="1"/>
    <col min="11" max="11" width="17.1796875" style="15" customWidth="1"/>
    <col min="12" max="16384" width="9.1796875" style="15"/>
  </cols>
  <sheetData>
    <row r="1" spans="1:2" x14ac:dyDescent="0.35">
      <c r="A1" s="14"/>
    </row>
    <row r="2" spans="1:2" x14ac:dyDescent="0.35">
      <c r="A2" s="14" t="s">
        <v>131</v>
      </c>
      <c r="B2" s="15" t="s">
        <v>132</v>
      </c>
    </row>
    <row r="3" spans="1:2" x14ac:dyDescent="0.35">
      <c r="A3" s="15" t="s">
        <v>133</v>
      </c>
      <c r="B3" s="15" t="s">
        <v>134</v>
      </c>
    </row>
    <row r="4" spans="1:2" x14ac:dyDescent="0.35">
      <c r="B4" s="15" t="s">
        <v>135</v>
      </c>
    </row>
    <row r="5" spans="1:2" x14ac:dyDescent="0.35">
      <c r="B5" s="15" t="s">
        <v>136</v>
      </c>
    </row>
    <row r="6" spans="1:2" x14ac:dyDescent="0.35">
      <c r="A6" s="14"/>
      <c r="B6" s="15" t="s">
        <v>137</v>
      </c>
    </row>
    <row r="7" spans="1:2" x14ac:dyDescent="0.35">
      <c r="A7" s="14"/>
      <c r="B7" s="15" t="s">
        <v>138</v>
      </c>
    </row>
    <row r="8" spans="1:2" x14ac:dyDescent="0.35">
      <c r="A8" s="14"/>
      <c r="B8" s="15" t="s">
        <v>139</v>
      </c>
    </row>
    <row r="9" spans="1:2" x14ac:dyDescent="0.35">
      <c r="A9" s="14"/>
      <c r="B9" s="15" t="s">
        <v>140</v>
      </c>
    </row>
    <row r="10" spans="1:2" x14ac:dyDescent="0.35">
      <c r="A10" s="14"/>
      <c r="B10" s="15" t="s">
        <v>141</v>
      </c>
    </row>
    <row r="11" spans="1:2" x14ac:dyDescent="0.35">
      <c r="A11" s="14"/>
      <c r="B11" s="15" t="s">
        <v>142</v>
      </c>
    </row>
    <row r="12" spans="1:2" x14ac:dyDescent="0.35">
      <c r="A12" s="14"/>
      <c r="B12" s="15" t="s">
        <v>143</v>
      </c>
    </row>
    <row r="13" spans="1:2" x14ac:dyDescent="0.35">
      <c r="A13" s="14"/>
      <c r="B13" s="15" t="s">
        <v>144</v>
      </c>
    </row>
    <row r="14" spans="1:2" x14ac:dyDescent="0.35">
      <c r="A14" s="14"/>
      <c r="B14" s="15" t="s">
        <v>145</v>
      </c>
    </row>
    <row r="15" spans="1:2" x14ac:dyDescent="0.35">
      <c r="A15" s="14"/>
      <c r="B15" s="15" t="s">
        <v>146</v>
      </c>
    </row>
    <row r="16" spans="1:2" x14ac:dyDescent="0.35">
      <c r="A16" s="14"/>
      <c r="B16" s="15" t="s">
        <v>147</v>
      </c>
    </row>
    <row r="17" spans="1:2" x14ac:dyDescent="0.35">
      <c r="A17" s="14"/>
      <c r="B17" s="15" t="s">
        <v>148</v>
      </c>
    </row>
    <row r="18" spans="1:2" x14ac:dyDescent="0.35">
      <c r="A18" s="14"/>
      <c r="B18" s="15" t="s">
        <v>149</v>
      </c>
    </row>
    <row r="19" spans="1:2" x14ac:dyDescent="0.35">
      <c r="A19" s="14"/>
      <c r="B19" s="15" t="s">
        <v>150</v>
      </c>
    </row>
    <row r="20" spans="1:2" x14ac:dyDescent="0.35">
      <c r="A20" s="14"/>
      <c r="B20" s="15" t="s">
        <v>151</v>
      </c>
    </row>
    <row r="21" spans="1:2" x14ac:dyDescent="0.35">
      <c r="A21" s="14"/>
    </row>
    <row r="22" spans="1:2" x14ac:dyDescent="0.35">
      <c r="A22" s="14" t="s">
        <v>152</v>
      </c>
      <c r="B22" s="15" t="s">
        <v>8</v>
      </c>
    </row>
    <row r="23" spans="1:2" x14ac:dyDescent="0.35">
      <c r="A23" s="15" t="s">
        <v>153</v>
      </c>
      <c r="B23" s="15" t="s">
        <v>154</v>
      </c>
    </row>
    <row r="24" spans="1:2" x14ac:dyDescent="0.35">
      <c r="B24" s="15" t="s">
        <v>155</v>
      </c>
    </row>
    <row r="25" spans="1:2" x14ac:dyDescent="0.35">
      <c r="B25" s="15" t="s">
        <v>156</v>
      </c>
    </row>
    <row r="26" spans="1:2" x14ac:dyDescent="0.35">
      <c r="B26" s="54" t="s">
        <v>157</v>
      </c>
    </row>
    <row r="27" spans="1:2" x14ac:dyDescent="0.35">
      <c r="B27" s="54" t="s">
        <v>158</v>
      </c>
    </row>
    <row r="28" spans="1:2" x14ac:dyDescent="0.35">
      <c r="B28" s="54" t="s">
        <v>159</v>
      </c>
    </row>
    <row r="29" spans="1:2" x14ac:dyDescent="0.35">
      <c r="B29" s="54" t="s">
        <v>160</v>
      </c>
    </row>
    <row r="30" spans="1:2" x14ac:dyDescent="0.35">
      <c r="B30" s="54" t="s">
        <v>161</v>
      </c>
    </row>
    <row r="31" spans="1:2" x14ac:dyDescent="0.35">
      <c r="B31" s="54" t="s">
        <v>162</v>
      </c>
    </row>
    <row r="32" spans="1:2" x14ac:dyDescent="0.35">
      <c r="B32" s="54" t="s">
        <v>163</v>
      </c>
    </row>
    <row r="33" spans="1:2" x14ac:dyDescent="0.35">
      <c r="B33" s="54" t="s">
        <v>164</v>
      </c>
    </row>
    <row r="34" spans="1:2" x14ac:dyDescent="0.35">
      <c r="B34" s="15" t="s">
        <v>165</v>
      </c>
    </row>
    <row r="35" spans="1:2" x14ac:dyDescent="0.35">
      <c r="B35" s="54" t="s">
        <v>166</v>
      </c>
    </row>
    <row r="36" spans="1:2" x14ac:dyDescent="0.35">
      <c r="B36" s="54" t="s">
        <v>167</v>
      </c>
    </row>
    <row r="37" spans="1:2" x14ac:dyDescent="0.35">
      <c r="B37" s="54" t="s">
        <v>168</v>
      </c>
    </row>
    <row r="38" spans="1:2" x14ac:dyDescent="0.35">
      <c r="B38" s="54" t="s">
        <v>169</v>
      </c>
    </row>
    <row r="39" spans="1:2" x14ac:dyDescent="0.35">
      <c r="B39" s="54" t="s">
        <v>170</v>
      </c>
    </row>
    <row r="41" spans="1:2" x14ac:dyDescent="0.35">
      <c r="A41" s="14" t="s">
        <v>171</v>
      </c>
      <c r="B41" s="15" t="s">
        <v>172</v>
      </c>
    </row>
    <row r="42" spans="1:2" x14ac:dyDescent="0.35">
      <c r="A42" s="15" t="s">
        <v>173</v>
      </c>
      <c r="B42" s="15" t="s">
        <v>174</v>
      </c>
    </row>
    <row r="43" spans="1:2" x14ac:dyDescent="0.35">
      <c r="B43" s="15" t="s">
        <v>175</v>
      </c>
    </row>
    <row r="44" spans="1:2" x14ac:dyDescent="0.35">
      <c r="B44" s="15" t="s">
        <v>176</v>
      </c>
    </row>
    <row r="45" spans="1:2" x14ac:dyDescent="0.35">
      <c r="B45" s="15" t="s">
        <v>177</v>
      </c>
    </row>
    <row r="46" spans="1:2" x14ac:dyDescent="0.35">
      <c r="B46" s="15" t="s">
        <v>178</v>
      </c>
    </row>
    <row r="47" spans="1:2" x14ac:dyDescent="0.35">
      <c r="B47" s="15" t="s">
        <v>179</v>
      </c>
    </row>
    <row r="48" spans="1:2" x14ac:dyDescent="0.35">
      <c r="B48" s="15" t="s">
        <v>180</v>
      </c>
    </row>
    <row r="49" spans="2:2" x14ac:dyDescent="0.35">
      <c r="B49" s="15" t="s">
        <v>181</v>
      </c>
    </row>
    <row r="50" spans="2:2" x14ac:dyDescent="0.35">
      <c r="B50" s="15" t="s">
        <v>182</v>
      </c>
    </row>
    <row r="51" spans="2:2" x14ac:dyDescent="0.35">
      <c r="B51" s="15" t="s">
        <v>183</v>
      </c>
    </row>
    <row r="52" spans="2:2" x14ac:dyDescent="0.35">
      <c r="B52" s="15" t="s">
        <v>184</v>
      </c>
    </row>
    <row r="53" spans="2:2" x14ac:dyDescent="0.35">
      <c r="B53" s="15" t="s">
        <v>185</v>
      </c>
    </row>
    <row r="54" spans="2:2" x14ac:dyDescent="0.35">
      <c r="B54" s="15" t="s">
        <v>186</v>
      </c>
    </row>
    <row r="55" spans="2:2" x14ac:dyDescent="0.35">
      <c r="B55" s="15" t="s">
        <v>187</v>
      </c>
    </row>
    <row r="56" spans="2:2" x14ac:dyDescent="0.35">
      <c r="B56" s="15" t="s">
        <v>188</v>
      </c>
    </row>
    <row r="57" spans="2:2" x14ac:dyDescent="0.35">
      <c r="B57" s="15" t="s">
        <v>189</v>
      </c>
    </row>
    <row r="58" spans="2:2" x14ac:dyDescent="0.35">
      <c r="B58" s="15" t="s">
        <v>190</v>
      </c>
    </row>
    <row r="59" spans="2:2" x14ac:dyDescent="0.35">
      <c r="B59" s="15" t="s">
        <v>191</v>
      </c>
    </row>
    <row r="60" spans="2:2" x14ac:dyDescent="0.35">
      <c r="B60" s="15" t="s">
        <v>192</v>
      </c>
    </row>
    <row r="61" spans="2:2" x14ac:dyDescent="0.35">
      <c r="B61" s="15" t="s">
        <v>193</v>
      </c>
    </row>
    <row r="62" spans="2:2" x14ac:dyDescent="0.35">
      <c r="B62" s="15" t="s">
        <v>194</v>
      </c>
    </row>
    <row r="63" spans="2:2" x14ac:dyDescent="0.35">
      <c r="B63" s="15" t="s">
        <v>195</v>
      </c>
    </row>
    <row r="64" spans="2:2" x14ac:dyDescent="0.35">
      <c r="B64" s="15" t="s">
        <v>196</v>
      </c>
    </row>
    <row r="66" spans="1:2" x14ac:dyDescent="0.35">
      <c r="A66" s="14" t="s">
        <v>197</v>
      </c>
      <c r="B66" s="15" t="s">
        <v>8</v>
      </c>
    </row>
    <row r="67" spans="1:2" x14ac:dyDescent="0.35">
      <c r="A67" s="15" t="s">
        <v>198</v>
      </c>
      <c r="B67" s="54" t="s">
        <v>199</v>
      </c>
    </row>
    <row r="68" spans="1:2" x14ac:dyDescent="0.35">
      <c r="B68" s="54" t="s">
        <v>200</v>
      </c>
    </row>
    <row r="69" spans="1:2" x14ac:dyDescent="0.35">
      <c r="B69" s="54" t="s">
        <v>201</v>
      </c>
    </row>
    <row r="70" spans="1:2" x14ac:dyDescent="0.35">
      <c r="B70" s="54" t="s">
        <v>202</v>
      </c>
    </row>
    <row r="71" spans="1:2" x14ac:dyDescent="0.35">
      <c r="B71" s="54" t="s">
        <v>203</v>
      </c>
    </row>
    <row r="72" spans="1:2" x14ac:dyDescent="0.35">
      <c r="B72" s="54" t="s">
        <v>204</v>
      </c>
    </row>
    <row r="73" spans="1:2" x14ac:dyDescent="0.35">
      <c r="B73" s="54" t="s">
        <v>205</v>
      </c>
    </row>
    <row r="74" spans="1:2" x14ac:dyDescent="0.35">
      <c r="B74" s="54" t="s">
        <v>206</v>
      </c>
    </row>
    <row r="75" spans="1:2" x14ac:dyDescent="0.35">
      <c r="B75" s="54" t="s">
        <v>207</v>
      </c>
    </row>
    <row r="76" spans="1:2" x14ac:dyDescent="0.35">
      <c r="B76" s="54" t="s">
        <v>208</v>
      </c>
    </row>
    <row r="77" spans="1:2" x14ac:dyDescent="0.35">
      <c r="B77" s="54" t="s">
        <v>209</v>
      </c>
    </row>
    <row r="78" spans="1:2" x14ac:dyDescent="0.35">
      <c r="B78" s="54" t="s">
        <v>210</v>
      </c>
    </row>
    <row r="79" spans="1:2" x14ac:dyDescent="0.35">
      <c r="B79" s="54" t="s">
        <v>211</v>
      </c>
    </row>
    <row r="80" spans="1:2" x14ac:dyDescent="0.35">
      <c r="B80" s="54" t="s">
        <v>212</v>
      </c>
    </row>
    <row r="81" spans="1:3" x14ac:dyDescent="0.35">
      <c r="B81" s="54" t="s">
        <v>213</v>
      </c>
    </row>
    <row r="82" spans="1:3" x14ac:dyDescent="0.35">
      <c r="B82" s="54" t="s">
        <v>214</v>
      </c>
    </row>
    <row r="83" spans="1:3" x14ac:dyDescent="0.35">
      <c r="B83" s="54" t="s">
        <v>215</v>
      </c>
    </row>
    <row r="85" spans="1:3" x14ac:dyDescent="0.35">
      <c r="A85" s="14" t="s">
        <v>216</v>
      </c>
      <c r="B85" s="16">
        <v>0</v>
      </c>
    </row>
    <row r="86" spans="1:3" x14ac:dyDescent="0.35">
      <c r="A86" s="15" t="s">
        <v>217</v>
      </c>
      <c r="B86" s="16">
        <v>0.1</v>
      </c>
    </row>
    <row r="87" spans="1:3" x14ac:dyDescent="0.35">
      <c r="B87" s="16">
        <v>0.2</v>
      </c>
    </row>
    <row r="88" spans="1:3" x14ac:dyDescent="0.35">
      <c r="B88" s="16">
        <v>0.25</v>
      </c>
    </row>
    <row r="89" spans="1:3" x14ac:dyDescent="0.35">
      <c r="B89" s="16">
        <v>0.3</v>
      </c>
    </row>
    <row r="90" spans="1:3" x14ac:dyDescent="0.35">
      <c r="B90" s="16">
        <v>0.4</v>
      </c>
    </row>
    <row r="91" spans="1:3" x14ac:dyDescent="0.35">
      <c r="B91" s="16">
        <v>0.5</v>
      </c>
    </row>
    <row r="92" spans="1:3" x14ac:dyDescent="0.35">
      <c r="B92" s="16">
        <v>0.6</v>
      </c>
    </row>
    <row r="93" spans="1:3" x14ac:dyDescent="0.35">
      <c r="B93" s="16">
        <v>0.75</v>
      </c>
    </row>
    <row r="94" spans="1:3" x14ac:dyDescent="0.35">
      <c r="B94" s="16">
        <v>1</v>
      </c>
    </row>
    <row r="96" spans="1:3" x14ac:dyDescent="0.35">
      <c r="A96" s="14" t="s">
        <v>218</v>
      </c>
      <c r="B96" s="15" t="s">
        <v>802</v>
      </c>
      <c r="C96" s="15" t="s">
        <v>220</v>
      </c>
    </row>
    <row r="97" spans="1:3" x14ac:dyDescent="0.35">
      <c r="A97" s="14"/>
      <c r="B97" s="15" t="s">
        <v>21</v>
      </c>
      <c r="C97" s="15">
        <v>0</v>
      </c>
    </row>
    <row r="98" spans="1:3" x14ac:dyDescent="0.35">
      <c r="B98" s="602" t="s">
        <v>743</v>
      </c>
      <c r="C98" s="15">
        <v>24</v>
      </c>
    </row>
    <row r="99" spans="1:3" x14ac:dyDescent="0.35">
      <c r="B99" s="602" t="s">
        <v>744</v>
      </c>
      <c r="C99" s="15">
        <v>25</v>
      </c>
    </row>
    <row r="100" spans="1:3" x14ac:dyDescent="0.35">
      <c r="B100" s="602" t="s">
        <v>745</v>
      </c>
      <c r="C100" s="15">
        <v>26</v>
      </c>
    </row>
    <row r="101" spans="1:3" x14ac:dyDescent="0.35">
      <c r="B101" s="602" t="s">
        <v>746</v>
      </c>
      <c r="C101" s="15">
        <v>27</v>
      </c>
    </row>
    <row r="102" spans="1:3" x14ac:dyDescent="0.35">
      <c r="B102" s="602" t="s">
        <v>747</v>
      </c>
      <c r="C102" s="15">
        <v>28</v>
      </c>
    </row>
    <row r="103" spans="1:3" x14ac:dyDescent="0.35">
      <c r="B103" s="602" t="s">
        <v>748</v>
      </c>
      <c r="C103" s="15">
        <v>29</v>
      </c>
    </row>
    <row r="104" spans="1:3" x14ac:dyDescent="0.35">
      <c r="B104" s="602" t="s">
        <v>749</v>
      </c>
      <c r="C104" s="15">
        <v>30</v>
      </c>
    </row>
    <row r="105" spans="1:3" x14ac:dyDescent="0.35">
      <c r="B105" s="602" t="s">
        <v>750</v>
      </c>
      <c r="C105" s="15">
        <v>31</v>
      </c>
    </row>
    <row r="106" spans="1:3" x14ac:dyDescent="0.35">
      <c r="B106" s="602" t="s">
        <v>751</v>
      </c>
      <c r="C106" s="15">
        <v>32</v>
      </c>
    </row>
    <row r="107" spans="1:3" x14ac:dyDescent="0.35">
      <c r="B107" s="602" t="s">
        <v>752</v>
      </c>
      <c r="C107" s="15">
        <v>33</v>
      </c>
    </row>
    <row r="108" spans="1:3" x14ac:dyDescent="0.35">
      <c r="B108" s="602" t="s">
        <v>753</v>
      </c>
      <c r="C108" s="15">
        <v>34</v>
      </c>
    </row>
    <row r="109" spans="1:3" x14ac:dyDescent="0.35">
      <c r="B109" s="602" t="s">
        <v>754</v>
      </c>
      <c r="C109" s="15">
        <v>35</v>
      </c>
    </row>
    <row r="110" spans="1:3" x14ac:dyDescent="0.35">
      <c r="B110" s="602" t="s">
        <v>755</v>
      </c>
      <c r="C110" s="15">
        <v>36</v>
      </c>
    </row>
    <row r="111" spans="1:3" x14ac:dyDescent="0.35">
      <c r="B111" s="602" t="s">
        <v>756</v>
      </c>
      <c r="C111" s="15">
        <v>37</v>
      </c>
    </row>
    <row r="112" spans="1:3" x14ac:dyDescent="0.35">
      <c r="B112" s="602" t="s">
        <v>757</v>
      </c>
      <c r="C112" s="15">
        <v>38</v>
      </c>
    </row>
    <row r="113" spans="1:3" x14ac:dyDescent="0.35">
      <c r="B113" s="602" t="s">
        <v>758</v>
      </c>
      <c r="C113" s="15">
        <v>39</v>
      </c>
    </row>
    <row r="114" spans="1:3" x14ac:dyDescent="0.35">
      <c r="B114" s="602" t="s">
        <v>759</v>
      </c>
      <c r="C114" s="15">
        <v>40</v>
      </c>
    </row>
    <row r="115" spans="1:3" x14ac:dyDescent="0.35">
      <c r="B115" s="602" t="s">
        <v>760</v>
      </c>
      <c r="C115" s="15">
        <v>41</v>
      </c>
    </row>
    <row r="116" spans="1:3" x14ac:dyDescent="0.35">
      <c r="B116" s="602" t="s">
        <v>761</v>
      </c>
      <c r="C116" s="15">
        <v>42</v>
      </c>
    </row>
    <row r="117" spans="1:3" x14ac:dyDescent="0.35">
      <c r="B117" s="602" t="s">
        <v>762</v>
      </c>
      <c r="C117" s="15">
        <v>43</v>
      </c>
    </row>
    <row r="118" spans="1:3" x14ac:dyDescent="0.35">
      <c r="B118" s="602" t="s">
        <v>763</v>
      </c>
      <c r="C118" s="15">
        <v>44</v>
      </c>
    </row>
    <row r="120" spans="1:3" x14ac:dyDescent="0.35">
      <c r="A120" s="17" t="s">
        <v>221</v>
      </c>
      <c r="B120" s="15" t="s">
        <v>219</v>
      </c>
      <c r="C120" s="15" t="s">
        <v>220</v>
      </c>
    </row>
    <row r="121" spans="1:3" x14ac:dyDescent="0.35">
      <c r="A121" s="17"/>
      <c r="B121" s="17" t="s">
        <v>21</v>
      </c>
      <c r="C121" s="15">
        <v>0</v>
      </c>
    </row>
    <row r="122" spans="1:3" x14ac:dyDescent="0.35">
      <c r="A122" s="17"/>
      <c r="B122" s="17" t="s">
        <v>222</v>
      </c>
      <c r="C122" s="15">
        <v>35</v>
      </c>
    </row>
    <row r="123" spans="1:3" x14ac:dyDescent="0.35">
      <c r="A123" s="17"/>
      <c r="B123" s="17" t="s">
        <v>223</v>
      </c>
      <c r="C123" s="15">
        <v>25</v>
      </c>
    </row>
    <row r="124" spans="1:3" x14ac:dyDescent="0.35">
      <c r="A124" s="17"/>
    </row>
    <row r="125" spans="1:3" x14ac:dyDescent="0.35">
      <c r="A125" s="17"/>
    </row>
    <row r="126" spans="1:3" x14ac:dyDescent="0.35">
      <c r="A126" s="17" t="s">
        <v>224</v>
      </c>
      <c r="B126" s="15" t="s">
        <v>219</v>
      </c>
      <c r="C126" s="15" t="s">
        <v>220</v>
      </c>
    </row>
    <row r="127" spans="1:3" x14ac:dyDescent="0.35">
      <c r="A127" s="17"/>
      <c r="B127" s="17" t="s">
        <v>21</v>
      </c>
      <c r="C127" s="15">
        <v>0</v>
      </c>
    </row>
    <row r="128" spans="1:3" x14ac:dyDescent="0.35">
      <c r="A128" s="17"/>
      <c r="B128" s="17" t="s">
        <v>225</v>
      </c>
      <c r="C128" s="15">
        <v>25</v>
      </c>
    </row>
    <row r="129" spans="1:4" x14ac:dyDescent="0.35">
      <c r="A129" s="17"/>
      <c r="B129" s="17"/>
    </row>
    <row r="130" spans="1:4" x14ac:dyDescent="0.35">
      <c r="A130" s="17"/>
      <c r="B130" s="17"/>
    </row>
    <row r="131" spans="1:4" x14ac:dyDescent="0.35">
      <c r="A131" s="17" t="s">
        <v>226</v>
      </c>
      <c r="B131" s="15" t="s">
        <v>219</v>
      </c>
      <c r="C131" s="15" t="s">
        <v>220</v>
      </c>
    </row>
    <row r="132" spans="1:4" x14ac:dyDescent="0.35">
      <c r="A132" s="17"/>
      <c r="B132" s="17" t="s">
        <v>21</v>
      </c>
      <c r="C132" s="15">
        <v>0</v>
      </c>
    </row>
    <row r="133" spans="1:4" x14ac:dyDescent="0.35">
      <c r="A133" s="17"/>
      <c r="B133" s="17" t="s">
        <v>227</v>
      </c>
      <c r="C133" s="15">
        <v>10</v>
      </c>
    </row>
    <row r="134" spans="1:4" x14ac:dyDescent="0.35">
      <c r="A134" s="17"/>
      <c r="B134" s="17" t="s">
        <v>228</v>
      </c>
      <c r="C134" s="15">
        <v>10</v>
      </c>
    </row>
    <row r="135" spans="1:4" x14ac:dyDescent="0.35">
      <c r="A135" s="17"/>
      <c r="B135" s="17" t="s">
        <v>229</v>
      </c>
      <c r="C135" s="15">
        <v>10</v>
      </c>
    </row>
    <row r="136" spans="1:4" x14ac:dyDescent="0.35">
      <c r="A136" s="17"/>
      <c r="B136" s="17" t="s">
        <v>230</v>
      </c>
      <c r="C136" s="15">
        <v>10</v>
      </c>
    </row>
    <row r="137" spans="1:4" x14ac:dyDescent="0.35">
      <c r="A137" s="17"/>
      <c r="B137" s="18" t="s">
        <v>231</v>
      </c>
      <c r="C137" s="15">
        <v>10</v>
      </c>
    </row>
    <row r="138" spans="1:4" x14ac:dyDescent="0.35">
      <c r="A138" s="17"/>
      <c r="B138" s="18" t="s">
        <v>232</v>
      </c>
      <c r="C138" s="15">
        <v>10</v>
      </c>
    </row>
    <row r="139" spans="1:4" x14ac:dyDescent="0.35">
      <c r="A139" s="17"/>
      <c r="B139" s="18" t="s">
        <v>233</v>
      </c>
      <c r="C139" s="15">
        <v>10</v>
      </c>
    </row>
    <row r="140" spans="1:4" x14ac:dyDescent="0.35">
      <c r="A140" s="17"/>
      <c r="B140" s="17"/>
    </row>
    <row r="141" spans="1:4" x14ac:dyDescent="0.35">
      <c r="A141" s="17" t="s">
        <v>234</v>
      </c>
      <c r="B141" s="15" t="s">
        <v>219</v>
      </c>
      <c r="C141" s="15" t="s">
        <v>235</v>
      </c>
      <c r="D141" s="15" t="s">
        <v>236</v>
      </c>
    </row>
    <row r="142" spans="1:4" x14ac:dyDescent="0.35">
      <c r="A142" s="17" t="s">
        <v>237</v>
      </c>
      <c r="B142" s="17" t="s">
        <v>91</v>
      </c>
      <c r="C142" s="15">
        <v>0</v>
      </c>
      <c r="D142" s="15">
        <v>0</v>
      </c>
    </row>
    <row r="143" spans="1:4" x14ac:dyDescent="0.35">
      <c r="A143" s="17"/>
      <c r="B143" s="17" t="s">
        <v>238</v>
      </c>
      <c r="C143" s="15">
        <v>2</v>
      </c>
      <c r="D143" s="15">
        <v>1</v>
      </c>
    </row>
    <row r="144" spans="1:4" x14ac:dyDescent="0.35">
      <c r="B144" s="17" t="s">
        <v>239</v>
      </c>
      <c r="C144" s="15">
        <v>2</v>
      </c>
      <c r="D144" s="15">
        <v>1</v>
      </c>
    </row>
    <row r="145" spans="1:4" x14ac:dyDescent="0.35">
      <c r="A145" s="17"/>
      <c r="B145" s="17" t="s">
        <v>240</v>
      </c>
      <c r="C145" s="15">
        <v>2</v>
      </c>
      <c r="D145" s="15">
        <v>1</v>
      </c>
    </row>
    <row r="146" spans="1:4" x14ac:dyDescent="0.35">
      <c r="A146" s="17"/>
      <c r="B146" s="17" t="s">
        <v>241</v>
      </c>
      <c r="C146" s="15">
        <v>2</v>
      </c>
      <c r="D146" s="15">
        <v>1</v>
      </c>
    </row>
    <row r="147" spans="1:4" x14ac:dyDescent="0.35">
      <c r="A147" s="17"/>
      <c r="B147" s="17" t="s">
        <v>242</v>
      </c>
      <c r="C147" s="15">
        <v>2</v>
      </c>
      <c r="D147" s="15">
        <v>1</v>
      </c>
    </row>
    <row r="148" spans="1:4" x14ac:dyDescent="0.35">
      <c r="A148" s="17"/>
      <c r="B148" s="17" t="s">
        <v>243</v>
      </c>
      <c r="C148" s="15">
        <v>2</v>
      </c>
      <c r="D148" s="15">
        <v>1</v>
      </c>
    </row>
    <row r="149" spans="1:4" x14ac:dyDescent="0.35">
      <c r="A149" s="17"/>
      <c r="B149" s="17" t="s">
        <v>244</v>
      </c>
      <c r="C149" s="15">
        <v>0</v>
      </c>
      <c r="D149" s="15">
        <v>0</v>
      </c>
    </row>
    <row r="150" spans="1:4" x14ac:dyDescent="0.35">
      <c r="A150" s="17"/>
    </row>
    <row r="151" spans="1:4" x14ac:dyDescent="0.35">
      <c r="A151" s="17" t="s">
        <v>245</v>
      </c>
      <c r="B151" s="15" t="s">
        <v>219</v>
      </c>
      <c r="C151" s="15" t="s">
        <v>220</v>
      </c>
    </row>
    <row r="152" spans="1:4" x14ac:dyDescent="0.35">
      <c r="A152" s="17" t="s">
        <v>246</v>
      </c>
      <c r="B152" s="15" t="s">
        <v>45</v>
      </c>
      <c r="C152" s="15">
        <v>0</v>
      </c>
    </row>
    <row r="153" spans="1:4" x14ac:dyDescent="0.35">
      <c r="A153" s="17"/>
      <c r="B153" s="18" t="s">
        <v>247</v>
      </c>
      <c r="C153" s="15">
        <v>2</v>
      </c>
    </row>
    <row r="154" spans="1:4" x14ac:dyDescent="0.35">
      <c r="B154" s="18" t="s">
        <v>248</v>
      </c>
      <c r="C154" s="15">
        <v>4</v>
      </c>
    </row>
    <row r="155" spans="1:4" x14ac:dyDescent="0.35">
      <c r="A155" s="17"/>
      <c r="B155" s="18" t="s">
        <v>249</v>
      </c>
      <c r="C155" s="15">
        <v>7</v>
      </c>
    </row>
    <row r="156" spans="1:4" x14ac:dyDescent="0.35">
      <c r="A156" s="17"/>
      <c r="B156" s="18" t="s">
        <v>250</v>
      </c>
      <c r="C156" s="15">
        <v>10</v>
      </c>
    </row>
    <row r="157" spans="1:4" x14ac:dyDescent="0.35">
      <c r="A157" s="17"/>
      <c r="B157" s="18" t="s">
        <v>251</v>
      </c>
      <c r="C157" s="15">
        <v>2</v>
      </c>
    </row>
    <row r="158" spans="1:4" x14ac:dyDescent="0.35">
      <c r="A158" s="17"/>
      <c r="B158" s="18" t="s">
        <v>252</v>
      </c>
      <c r="C158" s="15">
        <v>4</v>
      </c>
    </row>
    <row r="159" spans="1:4" x14ac:dyDescent="0.35">
      <c r="A159" s="17"/>
      <c r="B159" s="18" t="s">
        <v>253</v>
      </c>
      <c r="C159" s="15">
        <v>7</v>
      </c>
    </row>
    <row r="160" spans="1:4" x14ac:dyDescent="0.35">
      <c r="A160" s="17"/>
      <c r="B160" s="18" t="s">
        <v>254</v>
      </c>
      <c r="C160" s="15">
        <v>10</v>
      </c>
    </row>
    <row r="161" spans="1:3" x14ac:dyDescent="0.35">
      <c r="A161" s="17"/>
      <c r="B161" s="17" t="s">
        <v>255</v>
      </c>
      <c r="C161" s="15">
        <v>2</v>
      </c>
    </row>
    <row r="162" spans="1:3" x14ac:dyDescent="0.35">
      <c r="A162" s="17"/>
      <c r="B162" s="17" t="s">
        <v>256</v>
      </c>
      <c r="C162" s="15">
        <v>4</v>
      </c>
    </row>
    <row r="163" spans="1:3" x14ac:dyDescent="0.35">
      <c r="A163" s="17"/>
      <c r="B163" s="17" t="s">
        <v>257</v>
      </c>
      <c r="C163" s="15">
        <v>7</v>
      </c>
    </row>
    <row r="164" spans="1:3" x14ac:dyDescent="0.35">
      <c r="A164" s="17"/>
      <c r="B164" s="17" t="s">
        <v>258</v>
      </c>
      <c r="C164" s="15">
        <v>10</v>
      </c>
    </row>
    <row r="165" spans="1:3" x14ac:dyDescent="0.35">
      <c r="A165" s="17"/>
      <c r="B165" s="17"/>
    </row>
    <row r="166" spans="1:3" x14ac:dyDescent="0.35">
      <c r="A166" s="17"/>
      <c r="B166" s="17"/>
    </row>
    <row r="167" spans="1:3" x14ac:dyDescent="0.35">
      <c r="A167" s="17" t="s">
        <v>259</v>
      </c>
      <c r="B167" s="17" t="s">
        <v>260</v>
      </c>
    </row>
    <row r="168" spans="1:3" x14ac:dyDescent="0.35">
      <c r="A168" s="17" t="s">
        <v>261</v>
      </c>
      <c r="B168" s="17" t="s">
        <v>262</v>
      </c>
    </row>
    <row r="169" spans="1:3" x14ac:dyDescent="0.35">
      <c r="B169" s="17" t="s">
        <v>263</v>
      </c>
    </row>
    <row r="170" spans="1:3" x14ac:dyDescent="0.35">
      <c r="A170" s="17"/>
      <c r="B170" s="17" t="s">
        <v>264</v>
      </c>
    </row>
    <row r="171" spans="1:3" x14ac:dyDescent="0.35">
      <c r="A171" s="17"/>
      <c r="B171" s="17" t="s">
        <v>265</v>
      </c>
    </row>
    <row r="172" spans="1:3" x14ac:dyDescent="0.35">
      <c r="A172" s="17"/>
      <c r="B172" s="17" t="s">
        <v>266</v>
      </c>
    </row>
    <row r="173" spans="1:3" x14ac:dyDescent="0.35">
      <c r="A173" s="17"/>
      <c r="B173" s="17" t="s">
        <v>267</v>
      </c>
    </row>
    <row r="174" spans="1:3" x14ac:dyDescent="0.35">
      <c r="A174" s="17"/>
      <c r="B174" s="17"/>
    </row>
    <row r="175" spans="1:3" x14ac:dyDescent="0.35">
      <c r="A175" s="17" t="s">
        <v>268</v>
      </c>
      <c r="B175" s="15" t="s">
        <v>8</v>
      </c>
    </row>
    <row r="176" spans="1:3" x14ac:dyDescent="0.35">
      <c r="A176" s="17" t="s">
        <v>269</v>
      </c>
      <c r="B176" s="18" t="s">
        <v>270</v>
      </c>
    </row>
    <row r="177" spans="1:2" x14ac:dyDescent="0.35">
      <c r="A177" s="17"/>
      <c r="B177" s="18" t="s">
        <v>271</v>
      </c>
    </row>
    <row r="178" spans="1:2" x14ac:dyDescent="0.35">
      <c r="A178" s="17"/>
      <c r="B178" s="18" t="s">
        <v>272</v>
      </c>
    </row>
    <row r="179" spans="1:2" x14ac:dyDescent="0.35">
      <c r="A179" s="17"/>
      <c r="B179" s="18" t="s">
        <v>273</v>
      </c>
    </row>
    <row r="180" spans="1:2" x14ac:dyDescent="0.35">
      <c r="A180" s="17"/>
      <c r="B180" s="18" t="s">
        <v>274</v>
      </c>
    </row>
    <row r="181" spans="1:2" x14ac:dyDescent="0.35">
      <c r="A181" s="17"/>
      <c r="B181" s="17" t="s">
        <v>275</v>
      </c>
    </row>
    <row r="182" spans="1:2" x14ac:dyDescent="0.35">
      <c r="A182" s="17"/>
      <c r="B182" s="17"/>
    </row>
    <row r="183" spans="1:2" x14ac:dyDescent="0.35">
      <c r="A183" s="17" t="s">
        <v>276</v>
      </c>
      <c r="B183" s="17" t="s">
        <v>277</v>
      </c>
    </row>
    <row r="184" spans="1:2" x14ac:dyDescent="0.35">
      <c r="A184" s="17" t="s">
        <v>278</v>
      </c>
      <c r="B184" s="17" t="s">
        <v>279</v>
      </c>
    </row>
    <row r="185" spans="1:2" x14ac:dyDescent="0.35">
      <c r="A185" s="17"/>
      <c r="B185" s="17" t="s">
        <v>280</v>
      </c>
    </row>
    <row r="186" spans="1:2" x14ac:dyDescent="0.35">
      <c r="A186" s="17"/>
      <c r="B186" s="17"/>
    </row>
    <row r="187" spans="1:2" x14ac:dyDescent="0.35">
      <c r="A187" s="17" t="s">
        <v>281</v>
      </c>
      <c r="B187" s="15" t="s">
        <v>282</v>
      </c>
    </row>
    <row r="188" spans="1:2" x14ac:dyDescent="0.35">
      <c r="A188" s="17"/>
      <c r="B188" s="17" t="s">
        <v>283</v>
      </c>
    </row>
    <row r="189" spans="1:2" x14ac:dyDescent="0.35">
      <c r="A189" s="17"/>
      <c r="B189" s="17" t="s">
        <v>284</v>
      </c>
    </row>
    <row r="190" spans="1:2" x14ac:dyDescent="0.35">
      <c r="A190" s="17"/>
      <c r="B190" s="17" t="s">
        <v>285</v>
      </c>
    </row>
    <row r="191" spans="1:2" x14ac:dyDescent="0.35">
      <c r="A191" s="17"/>
      <c r="B191" s="19" t="s">
        <v>286</v>
      </c>
    </row>
    <row r="192" spans="1:2" x14ac:dyDescent="0.35">
      <c r="A192" s="17"/>
      <c r="B192" s="17"/>
    </row>
    <row r="193" spans="1:3" x14ac:dyDescent="0.35">
      <c r="A193" s="17" t="s">
        <v>287</v>
      </c>
      <c r="B193" s="15" t="s">
        <v>219</v>
      </c>
      <c r="C193" s="15" t="s">
        <v>220</v>
      </c>
    </row>
    <row r="194" spans="1:3" x14ac:dyDescent="0.35">
      <c r="A194" s="17"/>
      <c r="B194" s="17" t="s">
        <v>21</v>
      </c>
      <c r="C194" s="15">
        <v>0</v>
      </c>
    </row>
    <row r="195" spans="1:3" x14ac:dyDescent="0.35">
      <c r="A195" s="17"/>
      <c r="B195" s="17" t="s">
        <v>288</v>
      </c>
      <c r="C195" s="15">
        <v>10</v>
      </c>
    </row>
    <row r="196" spans="1:3" x14ac:dyDescent="0.35">
      <c r="A196" s="17"/>
      <c r="B196" s="17" t="s">
        <v>289</v>
      </c>
      <c r="C196" s="15">
        <v>8</v>
      </c>
    </row>
    <row r="197" spans="1:3" x14ac:dyDescent="0.35">
      <c r="A197" s="17"/>
      <c r="B197" s="17" t="s">
        <v>290</v>
      </c>
      <c r="C197" s="15">
        <v>6</v>
      </c>
    </row>
    <row r="198" spans="1:3" x14ac:dyDescent="0.35">
      <c r="A198" s="17"/>
      <c r="B198" s="17" t="s">
        <v>291</v>
      </c>
      <c r="C198" s="15">
        <v>4</v>
      </c>
    </row>
    <row r="199" spans="1:3" x14ac:dyDescent="0.35">
      <c r="A199" s="17"/>
      <c r="B199" s="17" t="s">
        <v>292</v>
      </c>
      <c r="C199" s="15">
        <v>2</v>
      </c>
    </row>
    <row r="200" spans="1:3" x14ac:dyDescent="0.35">
      <c r="A200" s="17"/>
      <c r="B200" s="17" t="s">
        <v>293</v>
      </c>
      <c r="C200" s="15">
        <v>0</v>
      </c>
    </row>
    <row r="201" spans="1:3" x14ac:dyDescent="0.35">
      <c r="A201" s="17"/>
      <c r="B201" s="17"/>
    </row>
    <row r="202" spans="1:3" x14ac:dyDescent="0.35">
      <c r="A202" s="17" t="s">
        <v>294</v>
      </c>
      <c r="B202" s="17" t="s">
        <v>69</v>
      </c>
    </row>
    <row r="203" spans="1:3" x14ac:dyDescent="0.35">
      <c r="A203" s="17"/>
      <c r="B203" s="17" t="s">
        <v>295</v>
      </c>
    </row>
    <row r="204" spans="1:3" x14ac:dyDescent="0.35">
      <c r="A204" s="17"/>
      <c r="B204" s="17" t="s">
        <v>296</v>
      </c>
    </row>
    <row r="205" spans="1:3" x14ac:dyDescent="0.35">
      <c r="A205" s="17"/>
      <c r="B205" s="17"/>
    </row>
    <row r="206" spans="1:3" x14ac:dyDescent="0.35">
      <c r="A206" s="17"/>
      <c r="B206" s="17"/>
    </row>
    <row r="207" spans="1:3" x14ac:dyDescent="0.35">
      <c r="A207" s="17" t="s">
        <v>297</v>
      </c>
      <c r="B207" s="17" t="s">
        <v>77</v>
      </c>
    </row>
    <row r="208" spans="1:3" x14ac:dyDescent="0.35">
      <c r="A208" s="17"/>
      <c r="B208" s="17" t="s">
        <v>298</v>
      </c>
    </row>
    <row r="209" spans="1:3" x14ac:dyDescent="0.35">
      <c r="A209" s="17"/>
      <c r="B209" s="17" t="s">
        <v>299</v>
      </c>
    </row>
    <row r="210" spans="1:3" x14ac:dyDescent="0.35">
      <c r="A210" s="17"/>
      <c r="B210" s="17"/>
    </row>
    <row r="211" spans="1:3" x14ac:dyDescent="0.35">
      <c r="A211" s="17"/>
      <c r="B211" s="17"/>
    </row>
    <row r="212" spans="1:3" x14ac:dyDescent="0.35">
      <c r="A212" s="17" t="s">
        <v>300</v>
      </c>
    </row>
    <row r="213" spans="1:3" x14ac:dyDescent="0.35">
      <c r="A213" s="17" t="s">
        <v>301</v>
      </c>
      <c r="B213" s="15" t="s">
        <v>219</v>
      </c>
      <c r="C213" s="15" t="s">
        <v>220</v>
      </c>
    </row>
    <row r="214" spans="1:3" x14ac:dyDescent="0.35">
      <c r="A214" s="17"/>
      <c r="B214" s="17" t="s">
        <v>84</v>
      </c>
      <c r="C214" s="15">
        <v>0</v>
      </c>
    </row>
    <row r="215" spans="1:3" x14ac:dyDescent="0.35">
      <c r="A215" s="17"/>
      <c r="B215" s="17" t="s">
        <v>302</v>
      </c>
      <c r="C215" s="15">
        <v>10</v>
      </c>
    </row>
    <row r="216" spans="1:3" x14ac:dyDescent="0.35">
      <c r="A216" s="17"/>
      <c r="B216" s="17" t="s">
        <v>303</v>
      </c>
      <c r="C216" s="15">
        <v>10</v>
      </c>
    </row>
    <row r="217" spans="1:3" x14ac:dyDescent="0.35">
      <c r="A217" s="17"/>
      <c r="B217" s="17" t="s">
        <v>304</v>
      </c>
      <c r="C217" s="15">
        <v>10</v>
      </c>
    </row>
    <row r="218" spans="1:3" x14ac:dyDescent="0.35">
      <c r="A218" s="17"/>
      <c r="B218" s="17" t="s">
        <v>305</v>
      </c>
      <c r="C218" s="15">
        <v>10</v>
      </c>
    </row>
    <row r="219" spans="1:3" x14ac:dyDescent="0.35">
      <c r="A219" s="17"/>
      <c r="B219" s="17" t="s">
        <v>306</v>
      </c>
      <c r="C219" s="15">
        <v>10</v>
      </c>
    </row>
    <row r="220" spans="1:3" x14ac:dyDescent="0.35">
      <c r="A220" s="17"/>
      <c r="B220" s="17" t="s">
        <v>307</v>
      </c>
      <c r="C220" s="15">
        <v>10</v>
      </c>
    </row>
    <row r="221" spans="1:3" x14ac:dyDescent="0.35">
      <c r="A221" s="17"/>
      <c r="B221" s="17" t="s">
        <v>308</v>
      </c>
      <c r="C221" s="15">
        <v>5</v>
      </c>
    </row>
    <row r="222" spans="1:3" x14ac:dyDescent="0.35">
      <c r="A222" s="17"/>
      <c r="B222" s="17" t="s">
        <v>309</v>
      </c>
      <c r="C222" s="15">
        <v>10</v>
      </c>
    </row>
    <row r="223" spans="1:3" x14ac:dyDescent="0.35">
      <c r="A223" s="17"/>
      <c r="B223" s="17" t="s">
        <v>310</v>
      </c>
      <c r="C223" s="15">
        <v>10</v>
      </c>
    </row>
    <row r="224" spans="1:3" x14ac:dyDescent="0.35">
      <c r="A224" s="17"/>
      <c r="B224" s="17" t="s">
        <v>311</v>
      </c>
      <c r="C224" s="15">
        <v>10</v>
      </c>
    </row>
    <row r="225" spans="1:3" x14ac:dyDescent="0.35">
      <c r="A225" s="17"/>
      <c r="B225" s="17" t="s">
        <v>312</v>
      </c>
      <c r="C225" s="15">
        <v>10</v>
      </c>
    </row>
    <row r="226" spans="1:3" x14ac:dyDescent="0.35">
      <c r="A226" s="17"/>
      <c r="B226" s="17" t="s">
        <v>313</v>
      </c>
      <c r="C226" s="15">
        <v>10</v>
      </c>
    </row>
    <row r="227" spans="1:3" x14ac:dyDescent="0.35">
      <c r="A227" s="17"/>
      <c r="B227" s="17" t="s">
        <v>314</v>
      </c>
      <c r="C227" s="15">
        <v>10</v>
      </c>
    </row>
    <row r="228" spans="1:3" x14ac:dyDescent="0.35">
      <c r="A228" s="17"/>
      <c r="B228" s="17" t="s">
        <v>315</v>
      </c>
      <c r="C228" s="15">
        <v>10</v>
      </c>
    </row>
    <row r="229" spans="1:3" x14ac:dyDescent="0.35">
      <c r="A229" s="17"/>
      <c r="B229" s="17" t="s">
        <v>316</v>
      </c>
      <c r="C229" s="15">
        <v>10</v>
      </c>
    </row>
    <row r="230" spans="1:3" x14ac:dyDescent="0.35">
      <c r="A230" s="17"/>
      <c r="B230" s="17"/>
    </row>
    <row r="231" spans="1:3" x14ac:dyDescent="0.35">
      <c r="A231" s="17"/>
      <c r="B231" s="17"/>
    </row>
    <row r="232" spans="1:3" x14ac:dyDescent="0.35">
      <c r="A232" s="17" t="s">
        <v>317</v>
      </c>
      <c r="B232" s="15" t="s">
        <v>219</v>
      </c>
      <c r="C232" s="15" t="s">
        <v>220</v>
      </c>
    </row>
    <row r="233" spans="1:3" x14ac:dyDescent="0.35">
      <c r="A233" s="17" t="s">
        <v>318</v>
      </c>
      <c r="B233" s="15" t="s">
        <v>21</v>
      </c>
      <c r="C233" s="15">
        <v>0</v>
      </c>
    </row>
    <row r="234" spans="1:3" x14ac:dyDescent="0.35">
      <c r="A234" s="17"/>
      <c r="B234" s="17" t="s">
        <v>319</v>
      </c>
      <c r="C234" s="15">
        <v>2</v>
      </c>
    </row>
    <row r="235" spans="1:3" x14ac:dyDescent="0.35">
      <c r="A235" s="17"/>
      <c r="B235" s="17" t="s">
        <v>320</v>
      </c>
      <c r="C235" s="15">
        <v>2</v>
      </c>
    </row>
    <row r="236" spans="1:3" x14ac:dyDescent="0.35">
      <c r="A236" s="17"/>
      <c r="B236" s="17" t="s">
        <v>321</v>
      </c>
      <c r="C236" s="15">
        <v>2</v>
      </c>
    </row>
    <row r="237" spans="1:3" x14ac:dyDescent="0.35">
      <c r="A237" s="17"/>
      <c r="B237" s="17"/>
    </row>
    <row r="238" spans="1:3" x14ac:dyDescent="0.35">
      <c r="A238" s="17"/>
      <c r="B238" s="17"/>
    </row>
    <row r="239" spans="1:3" x14ac:dyDescent="0.35">
      <c r="A239" s="17" t="s">
        <v>322</v>
      </c>
      <c r="B239" s="17" t="s">
        <v>95</v>
      </c>
    </row>
    <row r="240" spans="1:3" x14ac:dyDescent="0.35">
      <c r="A240" s="17" t="s">
        <v>323</v>
      </c>
      <c r="B240" s="17" t="s">
        <v>324</v>
      </c>
    </row>
    <row r="241" spans="1:3" x14ac:dyDescent="0.35">
      <c r="A241" s="17"/>
      <c r="B241" s="602" t="s">
        <v>742</v>
      </c>
    </row>
    <row r="242" spans="1:3" x14ac:dyDescent="0.35">
      <c r="A242" s="17"/>
      <c r="B242" s="17" t="s">
        <v>326</v>
      </c>
    </row>
    <row r="243" spans="1:3" x14ac:dyDescent="0.35">
      <c r="A243" s="17"/>
      <c r="B243" s="17"/>
    </row>
    <row r="244" spans="1:3" x14ac:dyDescent="0.35">
      <c r="A244" s="17"/>
      <c r="B244" s="17"/>
    </row>
    <row r="245" spans="1:3" x14ac:dyDescent="0.35">
      <c r="A245" s="17" t="s">
        <v>327</v>
      </c>
      <c r="B245" s="17" t="s">
        <v>95</v>
      </c>
    </row>
    <row r="246" spans="1:3" x14ac:dyDescent="0.35">
      <c r="A246" s="17" t="s">
        <v>328</v>
      </c>
      <c r="B246" s="17" t="s">
        <v>329</v>
      </c>
    </row>
    <row r="247" spans="1:3" x14ac:dyDescent="0.35">
      <c r="A247" s="17"/>
      <c r="B247" s="17" t="s">
        <v>325</v>
      </c>
    </row>
    <row r="248" spans="1:3" x14ac:dyDescent="0.35">
      <c r="A248" s="17"/>
      <c r="B248" s="17" t="s">
        <v>326</v>
      </c>
    </row>
    <row r="249" spans="1:3" x14ac:dyDescent="0.35">
      <c r="A249" s="17"/>
      <c r="B249" s="17"/>
    </row>
    <row r="250" spans="1:3" x14ac:dyDescent="0.35">
      <c r="A250" s="17"/>
      <c r="B250" s="17"/>
    </row>
    <row r="251" spans="1:3" x14ac:dyDescent="0.35">
      <c r="A251" s="17" t="s">
        <v>330</v>
      </c>
      <c r="B251" s="17" t="s">
        <v>95</v>
      </c>
    </row>
    <row r="252" spans="1:3" x14ac:dyDescent="0.35">
      <c r="A252" s="17" t="s">
        <v>331</v>
      </c>
      <c r="B252" s="17" t="s">
        <v>332</v>
      </c>
    </row>
    <row r="253" spans="1:3" x14ac:dyDescent="0.35">
      <c r="B253" s="15" t="s">
        <v>333</v>
      </c>
    </row>
    <row r="254" spans="1:3" x14ac:dyDescent="0.35">
      <c r="A254" s="17"/>
      <c r="B254" s="15" t="s">
        <v>334</v>
      </c>
    </row>
    <row r="255" spans="1:3" x14ac:dyDescent="0.35">
      <c r="A255" s="17"/>
    </row>
    <row r="256" spans="1:3" x14ac:dyDescent="0.35">
      <c r="A256" s="17" t="s">
        <v>335</v>
      </c>
      <c r="B256" s="15" t="s">
        <v>336</v>
      </c>
      <c r="C256" s="15" t="s">
        <v>335</v>
      </c>
    </row>
    <row r="257" spans="1:3" x14ac:dyDescent="0.35">
      <c r="A257" s="17"/>
      <c r="B257" s="17" t="s">
        <v>332</v>
      </c>
      <c r="C257" s="15" t="s">
        <v>337</v>
      </c>
    </row>
    <row r="258" spans="1:3" x14ac:dyDescent="0.35">
      <c r="A258" s="17"/>
      <c r="B258" s="15" t="s">
        <v>333</v>
      </c>
      <c r="C258" s="15" t="s">
        <v>338</v>
      </c>
    </row>
    <row r="259" spans="1:3" x14ac:dyDescent="0.35">
      <c r="A259" s="17"/>
      <c r="B259" s="15" t="s">
        <v>334</v>
      </c>
      <c r="C259" s="17" t="s">
        <v>339</v>
      </c>
    </row>
    <row r="260" spans="1:3" x14ac:dyDescent="0.35">
      <c r="A260" s="17"/>
      <c r="B260" s="15" t="s">
        <v>95</v>
      </c>
      <c r="C260" s="17" t="s">
        <v>339</v>
      </c>
    </row>
    <row r="261" spans="1:3" x14ac:dyDescent="0.35">
      <c r="A261" s="17" t="s">
        <v>340</v>
      </c>
      <c r="B261" s="17"/>
    </row>
    <row r="262" spans="1:3" x14ac:dyDescent="0.35">
      <c r="B262" s="17" t="s">
        <v>340</v>
      </c>
    </row>
    <row r="263" spans="1:3" x14ac:dyDescent="0.35">
      <c r="A263" s="17"/>
      <c r="B263" s="17" t="s">
        <v>764</v>
      </c>
    </row>
    <row r="264" spans="1:3" x14ac:dyDescent="0.35">
      <c r="A264" s="17"/>
      <c r="B264" s="17" t="s">
        <v>765</v>
      </c>
    </row>
    <row r="265" spans="1:3" x14ac:dyDescent="0.35">
      <c r="A265" s="17"/>
      <c r="B265" s="17" t="s">
        <v>766</v>
      </c>
    </row>
    <row r="266" spans="1:3" x14ac:dyDescent="0.35">
      <c r="A266" s="17"/>
      <c r="B266" s="17" t="s">
        <v>341</v>
      </c>
    </row>
    <row r="267" spans="1:3" x14ac:dyDescent="0.35">
      <c r="A267" s="17"/>
      <c r="B267" s="17" t="s">
        <v>342</v>
      </c>
    </row>
    <row r="268" spans="1:3" x14ac:dyDescent="0.35">
      <c r="A268" s="17"/>
      <c r="B268" s="17" t="s">
        <v>767</v>
      </c>
    </row>
    <row r="269" spans="1:3" x14ac:dyDescent="0.35">
      <c r="A269" s="17"/>
      <c r="B269" s="17" t="s">
        <v>343</v>
      </c>
    </row>
    <row r="270" spans="1:3" x14ac:dyDescent="0.35">
      <c r="A270" s="17"/>
      <c r="B270" s="17" t="s">
        <v>768</v>
      </c>
    </row>
    <row r="271" spans="1:3" x14ac:dyDescent="0.35">
      <c r="A271" s="17"/>
      <c r="B271" s="17" t="s">
        <v>769</v>
      </c>
    </row>
    <row r="272" spans="1:3" x14ac:dyDescent="0.35">
      <c r="A272" s="17"/>
      <c r="B272" s="17" t="s">
        <v>344</v>
      </c>
    </row>
    <row r="273" spans="1:2" x14ac:dyDescent="0.35">
      <c r="A273" s="17"/>
      <c r="B273" s="17" t="s">
        <v>345</v>
      </c>
    </row>
    <row r="274" spans="1:2" x14ac:dyDescent="0.35">
      <c r="A274" s="17"/>
      <c r="B274" s="17" t="s">
        <v>770</v>
      </c>
    </row>
    <row r="275" spans="1:2" x14ac:dyDescent="0.35">
      <c r="A275" s="17"/>
      <c r="B275" s="17" t="s">
        <v>346</v>
      </c>
    </row>
    <row r="276" spans="1:2" x14ac:dyDescent="0.35">
      <c r="A276" s="17"/>
      <c r="B276" s="15" t="s">
        <v>347</v>
      </c>
    </row>
    <row r="277" spans="1:2" x14ac:dyDescent="0.35">
      <c r="A277" s="17"/>
      <c r="B277" s="15" t="s">
        <v>348</v>
      </c>
    </row>
    <row r="278" spans="1:2" x14ac:dyDescent="0.35">
      <c r="A278" s="17"/>
      <c r="B278" s="15" t="s">
        <v>349</v>
      </c>
    </row>
    <row r="279" spans="1:2" x14ac:dyDescent="0.35">
      <c r="A279" s="17"/>
      <c r="B279" s="15" t="s">
        <v>771</v>
      </c>
    </row>
    <row r="280" spans="1:2" x14ac:dyDescent="0.35">
      <c r="A280" s="17"/>
      <c r="B280" s="15" t="s">
        <v>772</v>
      </c>
    </row>
    <row r="281" spans="1:2" x14ac:dyDescent="0.35">
      <c r="A281" s="17"/>
      <c r="B281" s="15" t="s">
        <v>350</v>
      </c>
    </row>
    <row r="282" spans="1:2" x14ac:dyDescent="0.35">
      <c r="A282" s="17"/>
      <c r="B282" s="15" t="s">
        <v>192</v>
      </c>
    </row>
    <row r="283" spans="1:2" x14ac:dyDescent="0.35">
      <c r="A283" s="17"/>
      <c r="B283" s="15" t="s">
        <v>351</v>
      </c>
    </row>
    <row r="284" spans="1:2" x14ac:dyDescent="0.35">
      <c r="A284" s="17"/>
      <c r="B284" s="15" t="s">
        <v>352</v>
      </c>
    </row>
    <row r="285" spans="1:2" x14ac:dyDescent="0.35">
      <c r="A285" s="17"/>
      <c r="B285" s="15" t="s">
        <v>353</v>
      </c>
    </row>
    <row r="286" spans="1:2" x14ac:dyDescent="0.35">
      <c r="A286" s="17"/>
      <c r="B286" s="15" t="s">
        <v>354</v>
      </c>
    </row>
    <row r="287" spans="1:2" x14ac:dyDescent="0.35">
      <c r="A287" s="17"/>
      <c r="B287" s="15" t="s">
        <v>355</v>
      </c>
    </row>
    <row r="288" spans="1:2" x14ac:dyDescent="0.35">
      <c r="A288" s="17"/>
      <c r="B288" s="15" t="s">
        <v>773</v>
      </c>
    </row>
    <row r="289" spans="1:2" x14ac:dyDescent="0.35">
      <c r="A289" s="17"/>
      <c r="B289" s="15" t="s">
        <v>177</v>
      </c>
    </row>
    <row r="290" spans="1:2" x14ac:dyDescent="0.35">
      <c r="A290" s="17"/>
      <c r="B290" s="15" t="s">
        <v>774</v>
      </c>
    </row>
    <row r="291" spans="1:2" x14ac:dyDescent="0.35">
      <c r="A291" s="17"/>
      <c r="B291" s="15" t="s">
        <v>797</v>
      </c>
    </row>
    <row r="292" spans="1:2" x14ac:dyDescent="0.35">
      <c r="A292" s="17"/>
      <c r="B292" s="15" t="s">
        <v>356</v>
      </c>
    </row>
    <row r="293" spans="1:2" x14ac:dyDescent="0.35">
      <c r="A293" s="17"/>
      <c r="B293" s="15" t="s">
        <v>775</v>
      </c>
    </row>
    <row r="294" spans="1:2" x14ac:dyDescent="0.35">
      <c r="A294" s="17"/>
      <c r="B294" s="15" t="s">
        <v>357</v>
      </c>
    </row>
    <row r="295" spans="1:2" x14ac:dyDescent="0.35">
      <c r="A295" s="17"/>
      <c r="B295" s="15" t="s">
        <v>358</v>
      </c>
    </row>
    <row r="296" spans="1:2" x14ac:dyDescent="0.35">
      <c r="A296" s="17"/>
      <c r="B296" s="15" t="s">
        <v>776</v>
      </c>
    </row>
    <row r="297" spans="1:2" x14ac:dyDescent="0.35">
      <c r="A297" s="17"/>
      <c r="B297" s="15" t="s">
        <v>359</v>
      </c>
    </row>
    <row r="298" spans="1:2" x14ac:dyDescent="0.35">
      <c r="A298" s="17"/>
      <c r="B298" s="15" t="s">
        <v>360</v>
      </c>
    </row>
    <row r="299" spans="1:2" x14ac:dyDescent="0.35">
      <c r="A299" s="17"/>
      <c r="B299" s="15" t="s">
        <v>361</v>
      </c>
    </row>
    <row r="300" spans="1:2" x14ac:dyDescent="0.35">
      <c r="A300" s="17"/>
      <c r="B300" s="15" t="s">
        <v>798</v>
      </c>
    </row>
    <row r="301" spans="1:2" x14ac:dyDescent="0.35">
      <c r="A301" s="17"/>
      <c r="B301" s="15" t="s">
        <v>362</v>
      </c>
    </row>
    <row r="302" spans="1:2" x14ac:dyDescent="0.35">
      <c r="A302" s="17"/>
      <c r="B302" s="15" t="s">
        <v>363</v>
      </c>
    </row>
    <row r="303" spans="1:2" x14ac:dyDescent="0.35">
      <c r="A303" s="17"/>
      <c r="B303" s="15" t="s">
        <v>364</v>
      </c>
    </row>
    <row r="304" spans="1:2" x14ac:dyDescent="0.35">
      <c r="A304" s="17"/>
      <c r="B304" s="15" t="s">
        <v>777</v>
      </c>
    </row>
    <row r="305" spans="1:2" x14ac:dyDescent="0.35">
      <c r="A305" s="17"/>
      <c r="B305" s="15" t="s">
        <v>365</v>
      </c>
    </row>
    <row r="306" spans="1:2" x14ac:dyDescent="0.35">
      <c r="A306" s="17"/>
      <c r="B306" s="15" t="s">
        <v>778</v>
      </c>
    </row>
    <row r="307" spans="1:2" x14ac:dyDescent="0.35">
      <c r="B307" s="15" t="s">
        <v>366</v>
      </c>
    </row>
    <row r="308" spans="1:2" x14ac:dyDescent="0.35">
      <c r="B308" s="15" t="s">
        <v>367</v>
      </c>
    </row>
    <row r="309" spans="1:2" x14ac:dyDescent="0.35">
      <c r="B309" s="15" t="s">
        <v>779</v>
      </c>
    </row>
    <row r="310" spans="1:2" x14ac:dyDescent="0.35">
      <c r="B310" s="15" t="s">
        <v>780</v>
      </c>
    </row>
    <row r="311" spans="1:2" x14ac:dyDescent="0.35">
      <c r="B311" s="15" t="s">
        <v>799</v>
      </c>
    </row>
    <row r="312" spans="1:2" x14ac:dyDescent="0.35">
      <c r="B312" s="15" t="s">
        <v>196</v>
      </c>
    </row>
    <row r="313" spans="1:2" x14ac:dyDescent="0.35">
      <c r="A313" s="15" t="s">
        <v>337</v>
      </c>
    </row>
    <row r="314" spans="1:2" x14ac:dyDescent="0.35">
      <c r="B314" s="17" t="s">
        <v>337</v>
      </c>
    </row>
    <row r="315" spans="1:2" x14ac:dyDescent="0.35">
      <c r="A315" s="17"/>
      <c r="B315" s="17" t="s">
        <v>764</v>
      </c>
    </row>
    <row r="316" spans="1:2" x14ac:dyDescent="0.35">
      <c r="A316" s="17"/>
      <c r="B316" s="17" t="s">
        <v>765</v>
      </c>
    </row>
    <row r="317" spans="1:2" x14ac:dyDescent="0.35">
      <c r="A317" s="17"/>
      <c r="B317" s="17" t="s">
        <v>766</v>
      </c>
    </row>
    <row r="318" spans="1:2" x14ac:dyDescent="0.35">
      <c r="A318" s="17"/>
      <c r="B318" s="17" t="s">
        <v>341</v>
      </c>
    </row>
    <row r="319" spans="1:2" x14ac:dyDescent="0.35">
      <c r="A319" s="17"/>
      <c r="B319" s="15" t="s">
        <v>342</v>
      </c>
    </row>
    <row r="320" spans="1:2" x14ac:dyDescent="0.35">
      <c r="A320" s="17"/>
      <c r="B320" s="15" t="s">
        <v>767</v>
      </c>
    </row>
    <row r="321" spans="1:2" x14ac:dyDescent="0.35">
      <c r="A321" s="17"/>
      <c r="B321" s="17" t="s">
        <v>343</v>
      </c>
    </row>
    <row r="322" spans="1:2" x14ac:dyDescent="0.35">
      <c r="A322" s="17"/>
      <c r="B322" s="17" t="s">
        <v>768</v>
      </c>
    </row>
    <row r="323" spans="1:2" x14ac:dyDescent="0.35">
      <c r="A323" s="17"/>
      <c r="B323" s="17" t="s">
        <v>769</v>
      </c>
    </row>
    <row r="324" spans="1:2" x14ac:dyDescent="0.35">
      <c r="A324" s="17"/>
      <c r="B324" s="15" t="s">
        <v>344</v>
      </c>
    </row>
    <row r="325" spans="1:2" x14ac:dyDescent="0.35">
      <c r="A325" s="17"/>
      <c r="B325" s="17" t="s">
        <v>345</v>
      </c>
    </row>
    <row r="326" spans="1:2" x14ac:dyDescent="0.35">
      <c r="A326" s="17"/>
      <c r="B326" s="17" t="s">
        <v>770</v>
      </c>
    </row>
    <row r="327" spans="1:2" x14ac:dyDescent="0.35">
      <c r="A327" s="17"/>
      <c r="B327" s="17" t="s">
        <v>346</v>
      </c>
    </row>
    <row r="328" spans="1:2" x14ac:dyDescent="0.35">
      <c r="A328" s="17"/>
      <c r="B328" s="15" t="s">
        <v>347</v>
      </c>
    </row>
    <row r="329" spans="1:2" x14ac:dyDescent="0.35">
      <c r="A329" s="17"/>
      <c r="B329" s="17" t="s">
        <v>348</v>
      </c>
    </row>
    <row r="330" spans="1:2" x14ac:dyDescent="0.35">
      <c r="A330" s="17"/>
      <c r="B330" s="17" t="s">
        <v>349</v>
      </c>
    </row>
    <row r="331" spans="1:2" x14ac:dyDescent="0.35">
      <c r="A331" s="17"/>
      <c r="B331" s="17" t="s">
        <v>771</v>
      </c>
    </row>
    <row r="332" spans="1:2" x14ac:dyDescent="0.35">
      <c r="A332" s="17"/>
      <c r="B332" s="17" t="s">
        <v>772</v>
      </c>
    </row>
    <row r="333" spans="1:2" x14ac:dyDescent="0.35">
      <c r="A333" s="17"/>
      <c r="B333" s="17" t="s">
        <v>350</v>
      </c>
    </row>
    <row r="334" spans="1:2" x14ac:dyDescent="0.35">
      <c r="A334" s="17"/>
      <c r="B334" s="17" t="s">
        <v>192</v>
      </c>
    </row>
    <row r="335" spans="1:2" x14ac:dyDescent="0.35">
      <c r="A335" s="17"/>
      <c r="B335" s="17" t="s">
        <v>351</v>
      </c>
    </row>
    <row r="336" spans="1:2" x14ac:dyDescent="0.35">
      <c r="A336" s="17"/>
      <c r="B336" s="17" t="s">
        <v>352</v>
      </c>
    </row>
    <row r="337" spans="1:2" x14ac:dyDescent="0.35">
      <c r="A337" s="17"/>
      <c r="B337" s="17" t="s">
        <v>353</v>
      </c>
    </row>
    <row r="338" spans="1:2" x14ac:dyDescent="0.35">
      <c r="A338" s="17"/>
      <c r="B338" s="17" t="s">
        <v>354</v>
      </c>
    </row>
    <row r="339" spans="1:2" x14ac:dyDescent="0.35">
      <c r="A339" s="17"/>
      <c r="B339" s="17" t="s">
        <v>355</v>
      </c>
    </row>
    <row r="340" spans="1:2" x14ac:dyDescent="0.35">
      <c r="A340" s="15" t="s">
        <v>338</v>
      </c>
      <c r="B340" s="17"/>
    </row>
    <row r="341" spans="1:2" x14ac:dyDescent="0.35">
      <c r="B341" s="17" t="s">
        <v>338</v>
      </c>
    </row>
    <row r="342" spans="1:2" x14ac:dyDescent="0.35">
      <c r="A342" s="17"/>
      <c r="B342" s="15" t="s">
        <v>773</v>
      </c>
    </row>
    <row r="343" spans="1:2" x14ac:dyDescent="0.35">
      <c r="A343" s="17"/>
      <c r="B343" s="15" t="s">
        <v>177</v>
      </c>
    </row>
    <row r="344" spans="1:2" x14ac:dyDescent="0.35">
      <c r="A344" s="17"/>
      <c r="B344" s="15" t="s">
        <v>774</v>
      </c>
    </row>
    <row r="345" spans="1:2" x14ac:dyDescent="0.35">
      <c r="A345" s="17"/>
      <c r="B345" s="15" t="s">
        <v>797</v>
      </c>
    </row>
    <row r="346" spans="1:2" x14ac:dyDescent="0.35">
      <c r="A346" s="17"/>
      <c r="B346" s="15" t="s">
        <v>356</v>
      </c>
    </row>
    <row r="347" spans="1:2" x14ac:dyDescent="0.35">
      <c r="A347" s="17"/>
      <c r="B347" s="15" t="s">
        <v>775</v>
      </c>
    </row>
    <row r="348" spans="1:2" x14ac:dyDescent="0.35">
      <c r="A348" s="17"/>
      <c r="B348" s="15" t="s">
        <v>357</v>
      </c>
    </row>
    <row r="349" spans="1:2" x14ac:dyDescent="0.35">
      <c r="A349" s="17"/>
      <c r="B349" s="15" t="s">
        <v>358</v>
      </c>
    </row>
    <row r="350" spans="1:2" x14ac:dyDescent="0.35">
      <c r="A350" s="17"/>
      <c r="B350" s="15" t="s">
        <v>776</v>
      </c>
    </row>
    <row r="351" spans="1:2" x14ac:dyDescent="0.35">
      <c r="A351" s="17"/>
      <c r="B351" s="15" t="s">
        <v>359</v>
      </c>
    </row>
    <row r="352" spans="1:2" x14ac:dyDescent="0.35">
      <c r="A352" s="17"/>
      <c r="B352" s="15" t="s">
        <v>360</v>
      </c>
    </row>
    <row r="353" spans="1:2" x14ac:dyDescent="0.35">
      <c r="A353" s="17"/>
      <c r="B353" s="15" t="s">
        <v>361</v>
      </c>
    </row>
    <row r="354" spans="1:2" x14ac:dyDescent="0.35">
      <c r="A354" s="17"/>
      <c r="B354" s="15" t="s">
        <v>798</v>
      </c>
    </row>
    <row r="355" spans="1:2" x14ac:dyDescent="0.35">
      <c r="A355" s="17"/>
      <c r="B355" s="15" t="s">
        <v>362</v>
      </c>
    </row>
    <row r="356" spans="1:2" x14ac:dyDescent="0.35">
      <c r="A356" s="17"/>
      <c r="B356" s="15" t="s">
        <v>363</v>
      </c>
    </row>
    <row r="357" spans="1:2" x14ac:dyDescent="0.35">
      <c r="A357" s="17"/>
      <c r="B357" s="15" t="s">
        <v>364</v>
      </c>
    </row>
    <row r="358" spans="1:2" x14ac:dyDescent="0.35">
      <c r="A358" s="17"/>
      <c r="B358" s="15" t="s">
        <v>777</v>
      </c>
    </row>
    <row r="359" spans="1:2" x14ac:dyDescent="0.35">
      <c r="A359" s="17"/>
      <c r="B359" s="15" t="s">
        <v>365</v>
      </c>
    </row>
    <row r="360" spans="1:2" x14ac:dyDescent="0.35">
      <c r="A360" s="17"/>
      <c r="B360" s="15" t="s">
        <v>778</v>
      </c>
    </row>
    <row r="361" spans="1:2" x14ac:dyDescent="0.35">
      <c r="A361" s="17"/>
      <c r="B361" s="15" t="s">
        <v>366</v>
      </c>
    </row>
    <row r="362" spans="1:2" x14ac:dyDescent="0.35">
      <c r="A362" s="17"/>
      <c r="B362" s="15" t="s">
        <v>367</v>
      </c>
    </row>
    <row r="363" spans="1:2" x14ac:dyDescent="0.35">
      <c r="A363" s="17"/>
      <c r="B363" s="15" t="s">
        <v>779</v>
      </c>
    </row>
    <row r="364" spans="1:2" x14ac:dyDescent="0.35">
      <c r="A364" s="17"/>
      <c r="B364" s="15" t="s">
        <v>780</v>
      </c>
    </row>
    <row r="365" spans="1:2" x14ac:dyDescent="0.35">
      <c r="A365" s="17"/>
      <c r="B365" s="15" t="s">
        <v>799</v>
      </c>
    </row>
    <row r="366" spans="1:2" x14ac:dyDescent="0.35">
      <c r="B366" s="15" t="s">
        <v>196</v>
      </c>
    </row>
    <row r="367" spans="1:2" x14ac:dyDescent="0.35">
      <c r="A367" s="17" t="s">
        <v>339</v>
      </c>
    </row>
    <row r="368" spans="1:2" x14ac:dyDescent="0.35">
      <c r="A368" s="17"/>
      <c r="B368" s="17" t="s">
        <v>339</v>
      </c>
    </row>
    <row r="369" spans="1:8" x14ac:dyDescent="0.35">
      <c r="A369" s="17"/>
      <c r="B369" s="17" t="s">
        <v>101</v>
      </c>
    </row>
    <row r="370" spans="1:8" x14ac:dyDescent="0.35">
      <c r="A370" s="15" t="s">
        <v>800</v>
      </c>
      <c r="B370" s="17"/>
    </row>
    <row r="371" spans="1:8" x14ac:dyDescent="0.35">
      <c r="A371" s="17"/>
      <c r="B371" s="15" t="s">
        <v>804</v>
      </c>
      <c r="C371" s="15" t="s">
        <v>220</v>
      </c>
    </row>
    <row r="372" spans="1:8" x14ac:dyDescent="0.35">
      <c r="A372" s="17"/>
      <c r="B372" s="15" t="s">
        <v>21</v>
      </c>
      <c r="C372" s="15">
        <v>0</v>
      </c>
    </row>
    <row r="373" spans="1:8" x14ac:dyDescent="0.35">
      <c r="A373" s="17"/>
      <c r="B373" s="17" t="s">
        <v>368</v>
      </c>
      <c r="C373" s="15">
        <v>5</v>
      </c>
    </row>
    <row r="374" spans="1:8" x14ac:dyDescent="0.35">
      <c r="A374" s="17"/>
      <c r="B374" s="17" t="s">
        <v>369</v>
      </c>
      <c r="C374" s="15">
        <v>5</v>
      </c>
    </row>
    <row r="375" spans="1:8" x14ac:dyDescent="0.35">
      <c r="A375" s="17"/>
      <c r="B375" s="17" t="s">
        <v>370</v>
      </c>
      <c r="C375" s="15">
        <v>5</v>
      </c>
    </row>
    <row r="376" spans="1:8" x14ac:dyDescent="0.35">
      <c r="A376" s="17"/>
      <c r="B376" s="17"/>
    </row>
    <row r="377" spans="1:8" x14ac:dyDescent="0.35">
      <c r="A377" s="15" t="s">
        <v>371</v>
      </c>
      <c r="B377" s="17"/>
      <c r="C377" s="15" t="s">
        <v>373</v>
      </c>
      <c r="D377" s="15" t="s">
        <v>374</v>
      </c>
      <c r="E377" s="15" t="s">
        <v>375</v>
      </c>
      <c r="F377" s="15" t="s">
        <v>376</v>
      </c>
      <c r="G377" s="15" t="s">
        <v>377</v>
      </c>
      <c r="H377" s="15" t="s">
        <v>378</v>
      </c>
    </row>
    <row r="378" spans="1:8" x14ac:dyDescent="0.35">
      <c r="B378" s="15" t="s">
        <v>372</v>
      </c>
      <c r="C378" s="15" t="s">
        <v>379</v>
      </c>
      <c r="D378" s="15">
        <v>414690.36</v>
      </c>
      <c r="E378" s="15">
        <v>474227.45</v>
      </c>
      <c r="F378" s="15">
        <v>563046.41</v>
      </c>
      <c r="G378" s="15">
        <v>717624.69000000006</v>
      </c>
      <c r="H378" s="15">
        <v>717624.69000000006</v>
      </c>
    </row>
    <row r="379" spans="1:8" x14ac:dyDescent="0.35">
      <c r="B379" s="77" t="s">
        <v>379</v>
      </c>
      <c r="C379" s="15" t="s">
        <v>380</v>
      </c>
      <c r="D379" s="15">
        <v>387605.48</v>
      </c>
      <c r="E379" s="15">
        <v>448728.77</v>
      </c>
      <c r="F379" s="15">
        <v>476790.09</v>
      </c>
      <c r="G379" s="15">
        <v>591594.92000000004</v>
      </c>
      <c r="H379" s="15">
        <v>634296.66</v>
      </c>
    </row>
    <row r="380" spans="1:8" x14ac:dyDescent="0.35">
      <c r="B380" s="77" t="s">
        <v>380</v>
      </c>
      <c r="C380" s="15" t="s">
        <v>381</v>
      </c>
      <c r="D380" s="15">
        <v>373086.60000000003</v>
      </c>
      <c r="E380" s="15">
        <v>435186.33</v>
      </c>
      <c r="F380" s="15">
        <v>460929.12</v>
      </c>
      <c r="G380" s="15">
        <v>544989.48</v>
      </c>
      <c r="H380" s="15">
        <v>587691.22</v>
      </c>
    </row>
    <row r="381" spans="1:8" x14ac:dyDescent="0.35">
      <c r="B381" s="77" t="s">
        <v>381</v>
      </c>
      <c r="C381" s="15" t="s">
        <v>382</v>
      </c>
      <c r="D381" s="15">
        <v>334533.7</v>
      </c>
      <c r="E381" s="15">
        <v>377356.98</v>
      </c>
      <c r="F381" s="15">
        <v>412981.59</v>
      </c>
      <c r="G381" s="15">
        <v>500702.57</v>
      </c>
      <c r="H381" s="15">
        <v>543403.28</v>
      </c>
    </row>
    <row r="382" spans="1:8" x14ac:dyDescent="0.35">
      <c r="B382" s="77" t="s">
        <v>382</v>
      </c>
      <c r="C382" s="15" t="s">
        <v>383</v>
      </c>
      <c r="D382" s="15">
        <v>0</v>
      </c>
      <c r="E382" s="15">
        <v>0</v>
      </c>
      <c r="F382" s="15">
        <v>0</v>
      </c>
      <c r="G382" s="15">
        <v>0</v>
      </c>
      <c r="H382" s="15">
        <v>0</v>
      </c>
    </row>
    <row r="384" spans="1:8" x14ac:dyDescent="0.35">
      <c r="A384" s="15" t="s">
        <v>803</v>
      </c>
    </row>
    <row r="385" spans="1:8" x14ac:dyDescent="0.35">
      <c r="B385" s="15" t="s">
        <v>805</v>
      </c>
      <c r="C385" s="15" t="s">
        <v>220</v>
      </c>
    </row>
    <row r="386" spans="1:8" x14ac:dyDescent="0.35">
      <c r="B386" s="15" t="s">
        <v>106</v>
      </c>
      <c r="C386" s="15">
        <v>0</v>
      </c>
    </row>
    <row r="387" spans="1:8" x14ac:dyDescent="0.35">
      <c r="B387" s="15" t="s">
        <v>384</v>
      </c>
      <c r="C387" s="15">
        <v>5</v>
      </c>
    </row>
    <row r="388" spans="1:8" x14ac:dyDescent="0.35">
      <c r="B388" s="15" t="s">
        <v>385</v>
      </c>
      <c r="C388" s="15">
        <v>5</v>
      </c>
    </row>
    <row r="390" spans="1:8" x14ac:dyDescent="0.35">
      <c r="A390" s="15" t="s">
        <v>386</v>
      </c>
    </row>
    <row r="391" spans="1:8" x14ac:dyDescent="0.35">
      <c r="B391" s="15" t="s">
        <v>806</v>
      </c>
      <c r="C391" s="15" t="s">
        <v>220</v>
      </c>
    </row>
    <row r="392" spans="1:8" x14ac:dyDescent="0.35">
      <c r="B392" s="15" t="s">
        <v>21</v>
      </c>
      <c r="C392" s="15">
        <v>0</v>
      </c>
    </row>
    <row r="393" spans="1:8" x14ac:dyDescent="0.35">
      <c r="B393" s="15" t="s">
        <v>387</v>
      </c>
      <c r="C393" s="15">
        <v>2</v>
      </c>
    </row>
    <row r="395" spans="1:8" x14ac:dyDescent="0.35">
      <c r="A395" s="15" t="s">
        <v>388</v>
      </c>
      <c r="C395" s="15" t="s">
        <v>373</v>
      </c>
      <c r="D395" s="15" t="s">
        <v>374</v>
      </c>
      <c r="E395" s="15" t="s">
        <v>375</v>
      </c>
      <c r="F395" s="15" t="s">
        <v>376</v>
      </c>
      <c r="G395" s="15" t="s">
        <v>377</v>
      </c>
      <c r="H395" s="15" t="s">
        <v>378</v>
      </c>
    </row>
    <row r="396" spans="1:8" x14ac:dyDescent="0.35">
      <c r="B396" s="15" t="s">
        <v>372</v>
      </c>
      <c r="C396" s="15" t="s">
        <v>389</v>
      </c>
      <c r="D396" s="15">
        <v>27640</v>
      </c>
      <c r="E396" s="15">
        <v>27640</v>
      </c>
      <c r="F396" s="15">
        <v>27640</v>
      </c>
      <c r="G396" s="15">
        <v>31000</v>
      </c>
      <c r="H396" s="15">
        <v>34500</v>
      </c>
    </row>
    <row r="397" spans="1:8" x14ac:dyDescent="0.35">
      <c r="B397" s="15" t="s">
        <v>389</v>
      </c>
      <c r="C397" s="15" t="s">
        <v>390</v>
      </c>
      <c r="D397" s="15">
        <v>27640</v>
      </c>
      <c r="E397" s="15">
        <v>27640</v>
      </c>
      <c r="F397" s="15">
        <v>27640</v>
      </c>
      <c r="G397" s="15">
        <v>30000</v>
      </c>
      <c r="H397" s="15">
        <v>33000</v>
      </c>
    </row>
    <row r="398" spans="1:8" x14ac:dyDescent="0.35">
      <c r="B398" s="15" t="s">
        <v>390</v>
      </c>
      <c r="C398" s="15" t="s">
        <v>381</v>
      </c>
      <c r="D398" s="15">
        <v>27640</v>
      </c>
      <c r="E398" s="15">
        <v>27640</v>
      </c>
      <c r="F398" s="15">
        <v>27640</v>
      </c>
      <c r="G398" s="15">
        <v>29500</v>
      </c>
      <c r="H398" s="15">
        <v>31000</v>
      </c>
    </row>
    <row r="399" spans="1:8" x14ac:dyDescent="0.35">
      <c r="B399" s="15" t="s">
        <v>381</v>
      </c>
      <c r="C399" s="15" t="s">
        <v>382</v>
      </c>
      <c r="D399" s="15">
        <v>27640</v>
      </c>
      <c r="E399" s="15">
        <v>27640</v>
      </c>
      <c r="F399" s="15">
        <v>27640</v>
      </c>
      <c r="G399" s="15">
        <v>29500</v>
      </c>
      <c r="H399" s="15">
        <v>30000</v>
      </c>
    </row>
    <row r="400" spans="1:8" x14ac:dyDescent="0.35">
      <c r="B400" s="15" t="s">
        <v>382</v>
      </c>
      <c r="C400" s="15" t="s">
        <v>383</v>
      </c>
      <c r="D400" s="15">
        <v>0</v>
      </c>
      <c r="E400" s="15">
        <v>0</v>
      </c>
      <c r="F400" s="15">
        <v>0</v>
      </c>
      <c r="G400" s="15">
        <v>0</v>
      </c>
      <c r="H400" s="15">
        <v>0</v>
      </c>
    </row>
    <row r="403" spans="1:3" x14ac:dyDescent="0.35">
      <c r="A403" s="15" t="s">
        <v>391</v>
      </c>
      <c r="B403" s="15" t="s">
        <v>801</v>
      </c>
      <c r="C403" s="15" t="s">
        <v>220</v>
      </c>
    </row>
    <row r="404" spans="1:3" x14ac:dyDescent="0.35">
      <c r="B404" s="15" t="s">
        <v>21</v>
      </c>
      <c r="C404" s="15">
        <v>0</v>
      </c>
    </row>
    <row r="405" spans="1:3" x14ac:dyDescent="0.35">
      <c r="B405" s="15" t="s">
        <v>392</v>
      </c>
      <c r="C405" s="15">
        <v>2</v>
      </c>
    </row>
  </sheetData>
  <phoneticPr fontId="80" type="noConversion"/>
  <pageMargins left="0.75" right="0.75" top="1" bottom="1" header="0.5" footer="0.5"/>
  <pageSetup orientation="portrait" r:id="rId1"/>
  <headerFooter alignWithMargins="0"/>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1297-28E9-4B79-B90D-9B8AF7D62380}">
  <dimension ref="A1:C119"/>
  <sheetViews>
    <sheetView workbookViewId="0">
      <selection activeCell="C2" sqref="C2"/>
    </sheetView>
  </sheetViews>
  <sheetFormatPr defaultRowHeight="14.5" x14ac:dyDescent="0.35"/>
  <cols>
    <col min="1" max="1" width="26.453125" customWidth="1"/>
    <col min="2" max="2" width="29.7265625" customWidth="1"/>
    <col min="3" max="3" width="17.453125" customWidth="1"/>
    <col min="4" max="4" width="29" customWidth="1"/>
  </cols>
  <sheetData>
    <row r="1" spans="1:3" x14ac:dyDescent="0.35">
      <c r="A1" t="s">
        <v>393</v>
      </c>
      <c r="B1" t="s">
        <v>394</v>
      </c>
      <c r="C1" t="s">
        <v>395</v>
      </c>
    </row>
    <row r="2" spans="1:3" x14ac:dyDescent="0.35">
      <c r="B2" t="s">
        <v>6</v>
      </c>
    </row>
    <row r="3" spans="1:3" x14ac:dyDescent="0.35">
      <c r="B3" t="s">
        <v>135</v>
      </c>
      <c r="C3" t="s">
        <v>396</v>
      </c>
    </row>
    <row r="4" spans="1:3" x14ac:dyDescent="0.35">
      <c r="B4" t="s">
        <v>136</v>
      </c>
      <c r="C4" t="s">
        <v>396</v>
      </c>
    </row>
    <row r="5" spans="1:3" x14ac:dyDescent="0.35">
      <c r="B5" t="s">
        <v>137</v>
      </c>
      <c r="C5" t="s">
        <v>396</v>
      </c>
    </row>
    <row r="6" spans="1:3" x14ac:dyDescent="0.35">
      <c r="B6" t="s">
        <v>138</v>
      </c>
      <c r="C6" t="s">
        <v>396</v>
      </c>
    </row>
    <row r="7" spans="1:3" x14ac:dyDescent="0.35">
      <c r="B7" t="s">
        <v>139</v>
      </c>
      <c r="C7" t="s">
        <v>396</v>
      </c>
    </row>
    <row r="8" spans="1:3" x14ac:dyDescent="0.35">
      <c r="B8" t="s">
        <v>140</v>
      </c>
      <c r="C8" t="s">
        <v>396</v>
      </c>
    </row>
    <row r="9" spans="1:3" x14ac:dyDescent="0.35">
      <c r="B9" t="s">
        <v>141</v>
      </c>
      <c r="C9" t="s">
        <v>396</v>
      </c>
    </row>
    <row r="10" spans="1:3" x14ac:dyDescent="0.35">
      <c r="B10" t="s">
        <v>142</v>
      </c>
      <c r="C10" t="s">
        <v>396</v>
      </c>
    </row>
    <row r="11" spans="1:3" x14ac:dyDescent="0.35">
      <c r="B11" t="s">
        <v>143</v>
      </c>
      <c r="C11" t="s">
        <v>396</v>
      </c>
    </row>
    <row r="12" spans="1:3" x14ac:dyDescent="0.35">
      <c r="B12" t="s">
        <v>144</v>
      </c>
      <c r="C12" t="s">
        <v>396</v>
      </c>
    </row>
    <row r="13" spans="1:3" x14ac:dyDescent="0.35">
      <c r="B13" t="s">
        <v>145</v>
      </c>
      <c r="C13" t="s">
        <v>396</v>
      </c>
    </row>
    <row r="14" spans="1:3" x14ac:dyDescent="0.35">
      <c r="B14" t="s">
        <v>146</v>
      </c>
      <c r="C14" t="s">
        <v>396</v>
      </c>
    </row>
    <row r="15" spans="1:3" x14ac:dyDescent="0.35">
      <c r="B15" t="s">
        <v>147</v>
      </c>
      <c r="C15" t="s">
        <v>396</v>
      </c>
    </row>
    <row r="16" spans="1:3" x14ac:dyDescent="0.35">
      <c r="B16" t="s">
        <v>148</v>
      </c>
      <c r="C16" t="s">
        <v>396</v>
      </c>
    </row>
    <row r="17" spans="2:3" x14ac:dyDescent="0.35">
      <c r="B17" t="s">
        <v>149</v>
      </c>
      <c r="C17" t="s">
        <v>396</v>
      </c>
    </row>
    <row r="18" spans="2:3" x14ac:dyDescent="0.35">
      <c r="B18" t="s">
        <v>150</v>
      </c>
      <c r="C18" t="s">
        <v>396</v>
      </c>
    </row>
    <row r="19" spans="2:3" x14ac:dyDescent="0.35">
      <c r="B19" t="s">
        <v>151</v>
      </c>
      <c r="C19" t="s">
        <v>396</v>
      </c>
    </row>
    <row r="20" spans="2:3" x14ac:dyDescent="0.35">
      <c r="B20" t="s">
        <v>175</v>
      </c>
      <c r="C20" t="s">
        <v>397</v>
      </c>
    </row>
    <row r="21" spans="2:3" x14ac:dyDescent="0.35">
      <c r="B21" t="s">
        <v>176</v>
      </c>
      <c r="C21" t="s">
        <v>397</v>
      </c>
    </row>
    <row r="22" spans="2:3" x14ac:dyDescent="0.35">
      <c r="B22" t="s">
        <v>177</v>
      </c>
      <c r="C22" t="s">
        <v>397</v>
      </c>
    </row>
    <row r="23" spans="2:3" x14ac:dyDescent="0.35">
      <c r="B23" t="s">
        <v>178</v>
      </c>
      <c r="C23" t="s">
        <v>397</v>
      </c>
    </row>
    <row r="24" spans="2:3" x14ac:dyDescent="0.35">
      <c r="B24" t="s">
        <v>179</v>
      </c>
      <c r="C24" t="s">
        <v>397</v>
      </c>
    </row>
    <row r="25" spans="2:3" x14ac:dyDescent="0.35">
      <c r="B25" t="s">
        <v>180</v>
      </c>
      <c r="C25" t="s">
        <v>397</v>
      </c>
    </row>
    <row r="26" spans="2:3" x14ac:dyDescent="0.35">
      <c r="B26" t="s">
        <v>181</v>
      </c>
      <c r="C26" t="s">
        <v>397</v>
      </c>
    </row>
    <row r="27" spans="2:3" x14ac:dyDescent="0.35">
      <c r="B27" t="s">
        <v>182</v>
      </c>
      <c r="C27" t="s">
        <v>397</v>
      </c>
    </row>
    <row r="28" spans="2:3" x14ac:dyDescent="0.35">
      <c r="B28" t="s">
        <v>183</v>
      </c>
      <c r="C28" t="s">
        <v>397</v>
      </c>
    </row>
    <row r="29" spans="2:3" x14ac:dyDescent="0.35">
      <c r="B29" t="s">
        <v>184</v>
      </c>
      <c r="C29" t="s">
        <v>397</v>
      </c>
    </row>
    <row r="30" spans="2:3" x14ac:dyDescent="0.35">
      <c r="B30" t="s">
        <v>185</v>
      </c>
      <c r="C30" t="s">
        <v>397</v>
      </c>
    </row>
    <row r="31" spans="2:3" x14ac:dyDescent="0.35">
      <c r="B31" t="s">
        <v>186</v>
      </c>
      <c r="C31" t="s">
        <v>397</v>
      </c>
    </row>
    <row r="32" spans="2:3" x14ac:dyDescent="0.35">
      <c r="B32" t="s">
        <v>187</v>
      </c>
      <c r="C32" t="s">
        <v>397</v>
      </c>
    </row>
    <row r="33" spans="1:3" x14ac:dyDescent="0.35">
      <c r="B33" t="s">
        <v>188</v>
      </c>
      <c r="C33" t="s">
        <v>397</v>
      </c>
    </row>
    <row r="34" spans="1:3" x14ac:dyDescent="0.35">
      <c r="B34" t="s">
        <v>189</v>
      </c>
      <c r="C34" t="s">
        <v>397</v>
      </c>
    </row>
    <row r="35" spans="1:3" x14ac:dyDescent="0.35">
      <c r="B35" t="s">
        <v>190</v>
      </c>
      <c r="C35" t="s">
        <v>397</v>
      </c>
    </row>
    <row r="36" spans="1:3" x14ac:dyDescent="0.35">
      <c r="B36" t="s">
        <v>191</v>
      </c>
      <c r="C36" t="s">
        <v>397</v>
      </c>
    </row>
    <row r="37" spans="1:3" x14ac:dyDescent="0.35">
      <c r="B37" t="s">
        <v>192</v>
      </c>
      <c r="C37" t="s">
        <v>397</v>
      </c>
    </row>
    <row r="38" spans="1:3" x14ac:dyDescent="0.35">
      <c r="B38" t="s">
        <v>193</v>
      </c>
      <c r="C38" t="s">
        <v>397</v>
      </c>
    </row>
    <row r="39" spans="1:3" x14ac:dyDescent="0.35">
      <c r="B39" t="s">
        <v>194</v>
      </c>
      <c r="C39" t="s">
        <v>397</v>
      </c>
    </row>
    <row r="40" spans="1:3" x14ac:dyDescent="0.35">
      <c r="B40" t="s">
        <v>195</v>
      </c>
      <c r="C40" t="s">
        <v>397</v>
      </c>
    </row>
    <row r="41" spans="1:3" x14ac:dyDescent="0.35">
      <c r="B41" t="s">
        <v>196</v>
      </c>
      <c r="C41" t="s">
        <v>397</v>
      </c>
    </row>
    <row r="43" spans="1:3" x14ac:dyDescent="0.35">
      <c r="A43" t="s">
        <v>396</v>
      </c>
      <c r="B43" t="s">
        <v>396</v>
      </c>
    </row>
    <row r="44" spans="1:3" x14ac:dyDescent="0.35">
      <c r="B44" t="s">
        <v>8</v>
      </c>
    </row>
    <row r="45" spans="1:3" x14ac:dyDescent="0.35">
      <c r="B45" t="s">
        <v>398</v>
      </c>
    </row>
    <row r="46" spans="1:3" x14ac:dyDescent="0.35">
      <c r="B46" t="s">
        <v>399</v>
      </c>
    </row>
    <row r="47" spans="1:3" x14ac:dyDescent="0.35">
      <c r="B47" t="s">
        <v>400</v>
      </c>
    </row>
    <row r="48" spans="1:3" x14ac:dyDescent="0.35">
      <c r="B48" t="s">
        <v>401</v>
      </c>
    </row>
    <row r="49" spans="1:2" x14ac:dyDescent="0.35">
      <c r="B49" t="s">
        <v>402</v>
      </c>
    </row>
    <row r="50" spans="1:2" x14ac:dyDescent="0.35">
      <c r="B50" t="s">
        <v>403</v>
      </c>
    </row>
    <row r="51" spans="1:2" x14ac:dyDescent="0.35">
      <c r="B51" t="s">
        <v>404</v>
      </c>
    </row>
    <row r="52" spans="1:2" x14ac:dyDescent="0.35">
      <c r="B52" t="s">
        <v>405</v>
      </c>
    </row>
    <row r="53" spans="1:2" x14ac:dyDescent="0.35">
      <c r="B53" t="s">
        <v>406</v>
      </c>
    </row>
    <row r="54" spans="1:2" x14ac:dyDescent="0.35">
      <c r="B54" t="s">
        <v>407</v>
      </c>
    </row>
    <row r="55" spans="1:2" x14ac:dyDescent="0.35">
      <c r="B55" t="s">
        <v>408</v>
      </c>
    </row>
    <row r="56" spans="1:2" x14ac:dyDescent="0.35">
      <c r="B56" t="s">
        <v>409</v>
      </c>
    </row>
    <row r="57" spans="1:2" x14ac:dyDescent="0.35">
      <c r="B57" t="s">
        <v>410</v>
      </c>
    </row>
    <row r="58" spans="1:2" x14ac:dyDescent="0.35">
      <c r="B58" t="s">
        <v>411</v>
      </c>
    </row>
    <row r="59" spans="1:2" x14ac:dyDescent="0.35">
      <c r="B59" t="s">
        <v>412</v>
      </c>
    </row>
    <row r="60" spans="1:2" x14ac:dyDescent="0.35">
      <c r="B60" t="s">
        <v>413</v>
      </c>
    </row>
    <row r="61" spans="1:2" x14ac:dyDescent="0.35">
      <c r="B61" t="s">
        <v>414</v>
      </c>
    </row>
    <row r="63" spans="1:2" x14ac:dyDescent="0.35">
      <c r="A63" t="s">
        <v>397</v>
      </c>
      <c r="B63" t="s">
        <v>397</v>
      </c>
    </row>
    <row r="64" spans="1:2" x14ac:dyDescent="0.35">
      <c r="B64" t="s">
        <v>8</v>
      </c>
    </row>
    <row r="65" spans="2:2" x14ac:dyDescent="0.35">
      <c r="B65" t="s">
        <v>415</v>
      </c>
    </row>
    <row r="66" spans="2:2" x14ac:dyDescent="0.35">
      <c r="B66" t="s">
        <v>416</v>
      </c>
    </row>
    <row r="67" spans="2:2" x14ac:dyDescent="0.35">
      <c r="B67" t="s">
        <v>417</v>
      </c>
    </row>
    <row r="68" spans="2:2" x14ac:dyDescent="0.35">
      <c r="B68" t="s">
        <v>418</v>
      </c>
    </row>
    <row r="69" spans="2:2" x14ac:dyDescent="0.35">
      <c r="B69" t="s">
        <v>419</v>
      </c>
    </row>
    <row r="70" spans="2:2" x14ac:dyDescent="0.35">
      <c r="B70" t="s">
        <v>420</v>
      </c>
    </row>
    <row r="71" spans="2:2" x14ac:dyDescent="0.35">
      <c r="B71" t="s">
        <v>421</v>
      </c>
    </row>
    <row r="72" spans="2:2" x14ac:dyDescent="0.35">
      <c r="B72" t="s">
        <v>422</v>
      </c>
    </row>
    <row r="73" spans="2:2" x14ac:dyDescent="0.35">
      <c r="B73" t="s">
        <v>423</v>
      </c>
    </row>
    <row r="74" spans="2:2" x14ac:dyDescent="0.35">
      <c r="B74" t="s">
        <v>424</v>
      </c>
    </row>
    <row r="75" spans="2:2" x14ac:dyDescent="0.35">
      <c r="B75" t="s">
        <v>425</v>
      </c>
    </row>
    <row r="76" spans="2:2" x14ac:dyDescent="0.35">
      <c r="B76" t="s">
        <v>426</v>
      </c>
    </row>
    <row r="77" spans="2:2" x14ac:dyDescent="0.35">
      <c r="B77" t="s">
        <v>427</v>
      </c>
    </row>
    <row r="78" spans="2:2" x14ac:dyDescent="0.35">
      <c r="B78" t="s">
        <v>428</v>
      </c>
    </row>
    <row r="79" spans="2:2" x14ac:dyDescent="0.35">
      <c r="B79" t="s">
        <v>429</v>
      </c>
    </row>
    <row r="80" spans="2:2" x14ac:dyDescent="0.35">
      <c r="B80" t="s">
        <v>430</v>
      </c>
    </row>
    <row r="81" spans="1:3" x14ac:dyDescent="0.35">
      <c r="B81" t="s">
        <v>431</v>
      </c>
    </row>
    <row r="83" spans="1:3" x14ac:dyDescent="0.35">
      <c r="A83" t="s">
        <v>432</v>
      </c>
      <c r="B83" t="s">
        <v>433</v>
      </c>
      <c r="C83" t="s">
        <v>220</v>
      </c>
    </row>
    <row r="84" spans="1:3" x14ac:dyDescent="0.35">
      <c r="B84" t="s">
        <v>8</v>
      </c>
      <c r="C84">
        <v>0</v>
      </c>
    </row>
    <row r="85" spans="1:3" x14ac:dyDescent="0.35">
      <c r="A85" t="s">
        <v>434</v>
      </c>
      <c r="B85" t="s">
        <v>415</v>
      </c>
      <c r="C85">
        <v>0</v>
      </c>
    </row>
    <row r="86" spans="1:3" x14ac:dyDescent="0.35">
      <c r="B86" t="s">
        <v>416</v>
      </c>
      <c r="C86">
        <v>0</v>
      </c>
    </row>
    <row r="87" spans="1:3" x14ac:dyDescent="0.35">
      <c r="B87" t="s">
        <v>417</v>
      </c>
      <c r="C87">
        <v>0</v>
      </c>
    </row>
    <row r="88" spans="1:3" x14ac:dyDescent="0.35">
      <c r="B88" t="s">
        <v>418</v>
      </c>
      <c r="C88">
        <v>60</v>
      </c>
    </row>
    <row r="89" spans="1:3" x14ac:dyDescent="0.35">
      <c r="B89" t="s">
        <v>419</v>
      </c>
      <c r="C89">
        <v>0</v>
      </c>
    </row>
    <row r="90" spans="1:3" x14ac:dyDescent="0.35">
      <c r="B90" t="s">
        <v>420</v>
      </c>
      <c r="C90">
        <v>60</v>
      </c>
    </row>
    <row r="91" spans="1:3" x14ac:dyDescent="0.35">
      <c r="B91" t="s">
        <v>421</v>
      </c>
      <c r="C91">
        <v>60</v>
      </c>
    </row>
    <row r="92" spans="1:3" x14ac:dyDescent="0.35">
      <c r="B92" t="s">
        <v>422</v>
      </c>
      <c r="C92">
        <v>58</v>
      </c>
    </row>
    <row r="93" spans="1:3" x14ac:dyDescent="0.35">
      <c r="B93" t="s">
        <v>423</v>
      </c>
      <c r="C93">
        <v>58</v>
      </c>
    </row>
    <row r="94" spans="1:3" x14ac:dyDescent="0.35">
      <c r="B94" t="s">
        <v>424</v>
      </c>
      <c r="C94">
        <v>58</v>
      </c>
    </row>
    <row r="95" spans="1:3" x14ac:dyDescent="0.35">
      <c r="B95" t="s">
        <v>425</v>
      </c>
      <c r="C95">
        <v>58</v>
      </c>
    </row>
    <row r="96" spans="1:3" x14ac:dyDescent="0.35">
      <c r="B96" t="s">
        <v>426</v>
      </c>
      <c r="C96">
        <v>56</v>
      </c>
    </row>
    <row r="97" spans="2:3" x14ac:dyDescent="0.35">
      <c r="B97" t="s">
        <v>427</v>
      </c>
      <c r="C97">
        <v>56</v>
      </c>
    </row>
    <row r="98" spans="2:3" x14ac:dyDescent="0.35">
      <c r="B98" t="s">
        <v>428</v>
      </c>
      <c r="C98">
        <v>56</v>
      </c>
    </row>
    <row r="99" spans="2:3" x14ac:dyDescent="0.35">
      <c r="B99" t="s">
        <v>429</v>
      </c>
      <c r="C99">
        <v>56</v>
      </c>
    </row>
    <row r="100" spans="2:3" x14ac:dyDescent="0.35">
      <c r="B100" t="s">
        <v>430</v>
      </c>
      <c r="C100">
        <v>56</v>
      </c>
    </row>
    <row r="101" spans="2:3" x14ac:dyDescent="0.35">
      <c r="B101" t="s">
        <v>431</v>
      </c>
      <c r="C101">
        <v>56</v>
      </c>
    </row>
    <row r="102" spans="2:3" x14ac:dyDescent="0.35">
      <c r="B102" t="s">
        <v>8</v>
      </c>
      <c r="C102">
        <v>0</v>
      </c>
    </row>
    <row r="103" spans="2:3" x14ac:dyDescent="0.35">
      <c r="B103" t="s">
        <v>398</v>
      </c>
      <c r="C103">
        <v>60</v>
      </c>
    </row>
    <row r="104" spans="2:3" x14ac:dyDescent="0.35">
      <c r="B104" t="s">
        <v>399</v>
      </c>
      <c r="C104">
        <v>60</v>
      </c>
    </row>
    <row r="105" spans="2:3" x14ac:dyDescent="0.35">
      <c r="B105" t="s">
        <v>400</v>
      </c>
      <c r="C105">
        <v>58</v>
      </c>
    </row>
    <row r="106" spans="2:3" x14ac:dyDescent="0.35">
      <c r="B106" t="s">
        <v>401</v>
      </c>
      <c r="C106">
        <v>56</v>
      </c>
    </row>
    <row r="107" spans="2:3" x14ac:dyDescent="0.35">
      <c r="B107" t="s">
        <v>402</v>
      </c>
      <c r="C107">
        <v>56</v>
      </c>
    </row>
    <row r="108" spans="2:3" x14ac:dyDescent="0.35">
      <c r="B108" t="s">
        <v>403</v>
      </c>
      <c r="C108">
        <v>0</v>
      </c>
    </row>
    <row r="109" spans="2:3" x14ac:dyDescent="0.35">
      <c r="B109" t="s">
        <v>404</v>
      </c>
      <c r="C109">
        <v>54</v>
      </c>
    </row>
    <row r="110" spans="2:3" x14ac:dyDescent="0.35">
      <c r="B110" t="s">
        <v>405</v>
      </c>
      <c r="C110">
        <v>0</v>
      </c>
    </row>
    <row r="111" spans="2:3" x14ac:dyDescent="0.35">
      <c r="B111" t="s">
        <v>406</v>
      </c>
      <c r="C111">
        <v>56</v>
      </c>
    </row>
    <row r="112" spans="2:3" x14ac:dyDescent="0.35">
      <c r="B112" t="s">
        <v>407</v>
      </c>
      <c r="C112">
        <v>0</v>
      </c>
    </row>
    <row r="113" spans="2:3" x14ac:dyDescent="0.35">
      <c r="B113" t="s">
        <v>408</v>
      </c>
      <c r="C113">
        <v>54</v>
      </c>
    </row>
    <row r="114" spans="2:3" x14ac:dyDescent="0.35">
      <c r="B114" t="s">
        <v>409</v>
      </c>
      <c r="C114">
        <v>0</v>
      </c>
    </row>
    <row r="115" spans="2:3" x14ac:dyDescent="0.35">
      <c r="B115" t="s">
        <v>410</v>
      </c>
      <c r="C115">
        <v>0</v>
      </c>
    </row>
    <row r="116" spans="2:3" x14ac:dyDescent="0.35">
      <c r="B116" t="s">
        <v>411</v>
      </c>
      <c r="C116">
        <v>54</v>
      </c>
    </row>
    <row r="117" spans="2:3" x14ac:dyDescent="0.35">
      <c r="B117" t="s">
        <v>412</v>
      </c>
      <c r="C117">
        <v>54</v>
      </c>
    </row>
    <row r="118" spans="2:3" x14ac:dyDescent="0.35">
      <c r="B118" t="s">
        <v>413</v>
      </c>
      <c r="C118">
        <v>0</v>
      </c>
    </row>
    <row r="119" spans="2:3" x14ac:dyDescent="0.35">
      <c r="B119" t="s">
        <v>414</v>
      </c>
      <c r="C119">
        <v>54</v>
      </c>
    </row>
  </sheetData>
  <pageMargins left="0.7" right="0.7" top="0.75" bottom="0.75" header="0.3" footer="0.3"/>
  <tableParts count="4">
    <tablePart r:id="rId1"/>
    <tablePart r:id="rId2"/>
    <tablePart r:id="rId3"/>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201"/>
  <sheetViews>
    <sheetView showGridLines="0" topLeftCell="A6" zoomScale="85" zoomScaleNormal="85" workbookViewId="0">
      <selection activeCell="E26" sqref="E26"/>
    </sheetView>
  </sheetViews>
  <sheetFormatPr defaultColWidth="9.1796875" defaultRowHeight="12.75" customHeight="1" x14ac:dyDescent="0.35"/>
  <cols>
    <col min="1" max="1" width="3.54296875" style="162" customWidth="1"/>
    <col min="2" max="2" width="12.81640625" style="162" customWidth="1"/>
    <col min="3" max="3" width="11.7265625" style="162" customWidth="1"/>
    <col min="4" max="4" width="10.81640625" style="162" customWidth="1"/>
    <col min="5" max="5" width="13" style="162" customWidth="1"/>
    <col min="6" max="6" width="13.81640625" style="162" customWidth="1"/>
    <col min="7" max="7" width="13.26953125" style="162" customWidth="1"/>
    <col min="8" max="8" width="14.1796875" style="162" customWidth="1"/>
    <col min="9" max="9" width="15.7265625" style="162" customWidth="1"/>
    <col min="10" max="10" width="16.81640625" style="162" customWidth="1"/>
    <col min="11" max="11" width="15.7265625" style="162" customWidth="1"/>
    <col min="12" max="12" width="3.26953125" style="178" customWidth="1"/>
    <col min="13" max="13" width="4" style="162" customWidth="1"/>
    <col min="14" max="14" width="3.7265625" style="162" customWidth="1"/>
    <col min="15" max="16384" width="9.1796875" style="162"/>
  </cols>
  <sheetData>
    <row r="1" spans="1:20" ht="31.5" customHeight="1" thickBot="1" x14ac:dyDescent="0.55000000000000004">
      <c r="A1" s="159"/>
      <c r="B1" s="607" t="s">
        <v>435</v>
      </c>
      <c r="C1" s="682"/>
      <c r="D1" s="682"/>
      <c r="E1" s="682"/>
      <c r="F1" s="682"/>
      <c r="G1" s="682"/>
      <c r="H1" s="682"/>
      <c r="I1" s="682"/>
      <c r="J1" s="682"/>
      <c r="K1" s="682"/>
      <c r="L1" s="160"/>
      <c r="M1" s="159"/>
      <c r="N1" s="159"/>
      <c r="O1" s="161"/>
      <c r="P1" s="161"/>
      <c r="Q1" s="161"/>
      <c r="R1" s="161"/>
      <c r="S1" s="161"/>
      <c r="T1" s="161"/>
    </row>
    <row r="2" spans="1:20" s="163" customFormat="1" ht="18.75" customHeight="1" x14ac:dyDescent="0.35">
      <c r="B2" s="189" t="s">
        <v>436</v>
      </c>
      <c r="C2" s="164"/>
      <c r="D2" s="164"/>
      <c r="E2" s="164"/>
      <c r="F2" s="164"/>
      <c r="G2" s="164"/>
      <c r="H2" s="164"/>
      <c r="I2" s="164"/>
      <c r="J2" s="164"/>
      <c r="K2" s="164"/>
      <c r="L2" s="165"/>
    </row>
    <row r="3" spans="1:20" s="163" customFormat="1" ht="134.25" customHeight="1" thickBot="1" x14ac:dyDescent="0.4">
      <c r="B3" s="672" t="s">
        <v>437</v>
      </c>
      <c r="C3" s="673"/>
      <c r="D3" s="673"/>
      <c r="E3" s="673"/>
      <c r="F3" s="673"/>
      <c r="G3" s="673"/>
      <c r="H3" s="673"/>
      <c r="I3" s="673"/>
      <c r="J3" s="673"/>
      <c r="K3" s="673"/>
      <c r="L3" s="166"/>
      <c r="M3" s="167"/>
      <c r="N3" s="167"/>
      <c r="O3" s="168"/>
      <c r="P3" s="168"/>
      <c r="Q3" s="168"/>
      <c r="R3" s="168"/>
      <c r="S3" s="168"/>
      <c r="T3" s="168"/>
    </row>
    <row r="4" spans="1:20" ht="15" customHeight="1" thickBot="1" x14ac:dyDescent="0.55000000000000004">
      <c r="A4" s="159"/>
      <c r="B4" s="169"/>
      <c r="C4" s="169"/>
      <c r="D4" s="169"/>
      <c r="E4" s="169"/>
      <c r="F4" s="169"/>
      <c r="G4" s="169"/>
      <c r="H4" s="169"/>
      <c r="I4" s="169"/>
      <c r="J4" s="169"/>
      <c r="K4" s="169"/>
      <c r="L4" s="160"/>
      <c r="M4" s="159"/>
      <c r="N4" s="159"/>
      <c r="O4" s="161"/>
      <c r="P4" s="161"/>
      <c r="Q4" s="161"/>
      <c r="R4" s="161"/>
      <c r="S4" s="161"/>
      <c r="T4" s="161"/>
    </row>
    <row r="5" spans="1:20" s="170" customFormat="1" ht="15" customHeight="1" x14ac:dyDescent="0.35">
      <c r="B5" s="683" t="s">
        <v>438</v>
      </c>
      <c r="C5" s="674" t="s">
        <v>439</v>
      </c>
      <c r="D5" s="674" t="s">
        <v>440</v>
      </c>
      <c r="E5" s="674" t="s">
        <v>441</v>
      </c>
      <c r="F5" s="674" t="s">
        <v>442</v>
      </c>
      <c r="G5" s="674" t="s">
        <v>443</v>
      </c>
      <c r="H5" s="674" t="s">
        <v>444</v>
      </c>
      <c r="I5" s="674" t="s">
        <v>445</v>
      </c>
      <c r="J5" s="674" t="s">
        <v>446</v>
      </c>
      <c r="K5" s="677" t="s">
        <v>447</v>
      </c>
      <c r="L5" s="171"/>
      <c r="M5" s="159"/>
    </row>
    <row r="6" spans="1:20" s="170" customFormat="1" ht="67.5" customHeight="1" x14ac:dyDescent="0.35">
      <c r="B6" s="684"/>
      <c r="C6" s="675"/>
      <c r="D6" s="675"/>
      <c r="E6" s="675"/>
      <c r="F6" s="675"/>
      <c r="G6" s="675"/>
      <c r="H6" s="675"/>
      <c r="I6" s="675"/>
      <c r="J6" s="675"/>
      <c r="K6" s="678"/>
      <c r="L6" s="171"/>
      <c r="M6" s="159"/>
    </row>
    <row r="7" spans="1:20" s="170" customFormat="1" ht="24" customHeight="1" x14ac:dyDescent="0.35">
      <c r="B7" s="685"/>
      <c r="C7" s="676"/>
      <c r="D7" s="676"/>
      <c r="E7" s="676"/>
      <c r="F7" s="676"/>
      <c r="G7" s="676"/>
      <c r="H7" s="676"/>
      <c r="I7" s="676"/>
      <c r="J7" s="676"/>
      <c r="K7" s="679"/>
      <c r="L7" s="171"/>
      <c r="M7" s="159"/>
    </row>
    <row r="8" spans="1:20" s="170" customFormat="1" ht="24" customHeight="1" x14ac:dyDescent="0.35">
      <c r="B8" s="3"/>
      <c r="C8" s="4"/>
      <c r="D8" s="5"/>
      <c r="E8" s="5"/>
      <c r="F8" s="5"/>
      <c r="G8" s="5"/>
      <c r="H8" s="190">
        <f>F8-G8</f>
        <v>0</v>
      </c>
      <c r="I8" s="11">
        <v>0</v>
      </c>
      <c r="J8" s="192">
        <f>MIN(H8:I8)</f>
        <v>0</v>
      </c>
      <c r="K8" s="194">
        <f>D8*J8*12</f>
        <v>0</v>
      </c>
      <c r="L8" s="171"/>
      <c r="M8" s="159"/>
    </row>
    <row r="9" spans="1:20" s="170" customFormat="1" ht="24" customHeight="1" x14ac:dyDescent="0.35">
      <c r="B9" s="3"/>
      <c r="C9" s="4"/>
      <c r="D9" s="5"/>
      <c r="E9" s="5"/>
      <c r="F9" s="5"/>
      <c r="G9" s="5"/>
      <c r="H9" s="190">
        <f t="shared" ref="H9:H15" si="0">F9-G9</f>
        <v>0</v>
      </c>
      <c r="I9" s="11">
        <v>0</v>
      </c>
      <c r="J9" s="192">
        <f t="shared" ref="J9:J14" si="1">MIN(H9:I9)</f>
        <v>0</v>
      </c>
      <c r="K9" s="194">
        <f t="shared" ref="K9:K15" si="2">D9*J9*12</f>
        <v>0</v>
      </c>
      <c r="L9" s="171"/>
      <c r="M9" s="159"/>
    </row>
    <row r="10" spans="1:20" s="170" customFormat="1" ht="24" customHeight="1" x14ac:dyDescent="0.35">
      <c r="B10" s="3"/>
      <c r="C10" s="4"/>
      <c r="D10" s="5"/>
      <c r="E10" s="5"/>
      <c r="F10" s="5"/>
      <c r="G10" s="5"/>
      <c r="H10" s="190">
        <f t="shared" si="0"/>
        <v>0</v>
      </c>
      <c r="I10" s="11">
        <v>0</v>
      </c>
      <c r="J10" s="192">
        <f t="shared" si="1"/>
        <v>0</v>
      </c>
      <c r="K10" s="194">
        <f t="shared" si="2"/>
        <v>0</v>
      </c>
      <c r="L10" s="171"/>
      <c r="M10" s="159"/>
    </row>
    <row r="11" spans="1:20" s="170" customFormat="1" ht="24" customHeight="1" x14ac:dyDescent="0.35">
      <c r="B11" s="3"/>
      <c r="C11" s="4"/>
      <c r="D11" s="5"/>
      <c r="E11" s="5"/>
      <c r="F11" s="5"/>
      <c r="G11" s="5"/>
      <c r="H11" s="190">
        <f t="shared" si="0"/>
        <v>0</v>
      </c>
      <c r="I11" s="11">
        <v>0</v>
      </c>
      <c r="J11" s="192">
        <f t="shared" si="1"/>
        <v>0</v>
      </c>
      <c r="K11" s="194">
        <f t="shared" si="2"/>
        <v>0</v>
      </c>
      <c r="L11" s="171"/>
      <c r="M11" s="159"/>
    </row>
    <row r="12" spans="1:20" s="170" customFormat="1" ht="24" customHeight="1" x14ac:dyDescent="0.35">
      <c r="B12" s="6"/>
      <c r="C12" s="7"/>
      <c r="D12" s="8"/>
      <c r="E12" s="5"/>
      <c r="F12" s="5"/>
      <c r="G12" s="5"/>
      <c r="H12" s="190">
        <f t="shared" si="0"/>
        <v>0</v>
      </c>
      <c r="I12" s="12">
        <v>0</v>
      </c>
      <c r="J12" s="192">
        <f t="shared" si="1"/>
        <v>0</v>
      </c>
      <c r="K12" s="194">
        <f t="shared" si="2"/>
        <v>0</v>
      </c>
      <c r="L12" s="171"/>
      <c r="M12" s="159"/>
    </row>
    <row r="13" spans="1:20" s="170" customFormat="1" ht="24" customHeight="1" x14ac:dyDescent="0.35">
      <c r="B13" s="6"/>
      <c r="C13" s="7"/>
      <c r="D13" s="8"/>
      <c r="E13" s="5"/>
      <c r="F13" s="5"/>
      <c r="G13" s="5"/>
      <c r="H13" s="190">
        <f t="shared" si="0"/>
        <v>0</v>
      </c>
      <c r="I13" s="12">
        <v>0</v>
      </c>
      <c r="J13" s="192">
        <f t="shared" si="1"/>
        <v>0</v>
      </c>
      <c r="K13" s="194">
        <f t="shared" si="2"/>
        <v>0</v>
      </c>
      <c r="L13" s="171"/>
      <c r="M13" s="159"/>
    </row>
    <row r="14" spans="1:20" s="170" customFormat="1" ht="24" customHeight="1" x14ac:dyDescent="0.35">
      <c r="B14" s="6"/>
      <c r="C14" s="7"/>
      <c r="D14" s="8"/>
      <c r="E14" s="5"/>
      <c r="F14" s="5"/>
      <c r="G14" s="5"/>
      <c r="H14" s="190">
        <f t="shared" si="0"/>
        <v>0</v>
      </c>
      <c r="I14" s="12">
        <v>0</v>
      </c>
      <c r="J14" s="192">
        <f t="shared" si="1"/>
        <v>0</v>
      </c>
      <c r="K14" s="194">
        <f t="shared" si="2"/>
        <v>0</v>
      </c>
      <c r="L14" s="171"/>
      <c r="M14" s="159"/>
    </row>
    <row r="15" spans="1:20" s="170" customFormat="1" ht="24" customHeight="1" thickBot="1" x14ac:dyDescent="0.4">
      <c r="B15" s="6"/>
      <c r="C15" s="9"/>
      <c r="D15" s="10"/>
      <c r="E15" s="10"/>
      <c r="F15" s="10"/>
      <c r="G15" s="10"/>
      <c r="H15" s="191">
        <f t="shared" si="0"/>
        <v>0</v>
      </c>
      <c r="I15" s="13">
        <v>0</v>
      </c>
      <c r="J15" s="193">
        <f>MIN(H15:I15)</f>
        <v>0</v>
      </c>
      <c r="K15" s="195">
        <f t="shared" si="2"/>
        <v>0</v>
      </c>
      <c r="L15" s="171"/>
      <c r="M15" s="159"/>
    </row>
    <row r="16" spans="1:20" s="172" customFormat="1" ht="15" customHeight="1" thickBot="1" x14ac:dyDescent="0.4">
      <c r="B16" s="680" t="s">
        <v>448</v>
      </c>
      <c r="C16" s="681"/>
      <c r="D16" s="198">
        <f>SUM(D8:D15)</f>
        <v>0</v>
      </c>
      <c r="E16" s="173"/>
      <c r="F16" s="173"/>
      <c r="G16" s="173"/>
      <c r="H16" s="173"/>
      <c r="I16" s="173"/>
      <c r="J16" s="174"/>
      <c r="K16" s="196">
        <f>SUM(K8:K15)</f>
        <v>0</v>
      </c>
      <c r="L16" s="175"/>
      <c r="M16" s="159"/>
    </row>
    <row r="17" spans="1:13" s="172" customFormat="1" ht="15" customHeight="1" x14ac:dyDescent="0.35">
      <c r="B17" s="162"/>
      <c r="H17" s="176"/>
      <c r="L17" s="175"/>
      <c r="M17" s="159"/>
    </row>
    <row r="18" spans="1:13" s="172" customFormat="1" ht="15" customHeight="1" x14ac:dyDescent="0.35">
      <c r="B18" s="197" t="s">
        <v>449</v>
      </c>
      <c r="G18" s="670" t="s">
        <v>450</v>
      </c>
      <c r="H18" s="671"/>
      <c r="I18" s="671"/>
      <c r="L18" s="175"/>
      <c r="M18" s="159"/>
    </row>
    <row r="19" spans="1:13" s="172" customFormat="1" ht="15" customHeight="1" x14ac:dyDescent="0.35">
      <c r="F19" s="177"/>
      <c r="L19" s="175"/>
      <c r="M19" s="159"/>
    </row>
    <row r="20" spans="1:13" ht="12.75" customHeight="1" x14ac:dyDescent="0.35">
      <c r="B20" s="172"/>
      <c r="C20" s="172"/>
      <c r="D20" s="172"/>
      <c r="E20" s="172"/>
      <c r="F20" s="172"/>
      <c r="G20" s="172"/>
      <c r="H20" s="172"/>
      <c r="I20" s="172"/>
      <c r="J20" s="172"/>
      <c r="K20" s="172"/>
    </row>
    <row r="31" spans="1:13" ht="12.75" customHeight="1" x14ac:dyDescent="0.35">
      <c r="A31" s="179"/>
    </row>
    <row r="32" spans="1:13" ht="12.75" customHeight="1" x14ac:dyDescent="0.35">
      <c r="B32" s="179"/>
      <c r="C32" s="179"/>
      <c r="D32" s="179"/>
      <c r="E32" s="179"/>
      <c r="F32" s="179"/>
      <c r="G32" s="179"/>
      <c r="H32" s="179"/>
      <c r="I32" s="179"/>
    </row>
    <row r="50" spans="1:10" ht="12.75" customHeight="1" x14ac:dyDescent="0.35">
      <c r="A50" s="180"/>
    </row>
    <row r="51" spans="1:10" ht="12.75" customHeight="1" x14ac:dyDescent="0.35">
      <c r="A51" s="181"/>
      <c r="B51" s="180"/>
      <c r="C51" s="180"/>
      <c r="D51" s="180"/>
      <c r="E51" s="180"/>
      <c r="F51" s="180"/>
      <c r="G51" s="180"/>
      <c r="H51" s="180"/>
      <c r="I51" s="180"/>
      <c r="J51" s="180"/>
    </row>
    <row r="52" spans="1:10" ht="12.75" customHeight="1" x14ac:dyDescent="0.35">
      <c r="A52" s="181"/>
      <c r="B52" s="181"/>
      <c r="C52" s="181"/>
      <c r="D52" s="181"/>
      <c r="E52" s="181"/>
      <c r="F52" s="181"/>
      <c r="G52" s="181"/>
      <c r="H52" s="181"/>
      <c r="I52" s="181"/>
      <c r="J52" s="181"/>
    </row>
    <row r="53" spans="1:10" ht="12.75" customHeight="1" x14ac:dyDescent="0.35">
      <c r="A53" s="181"/>
      <c r="B53" s="181"/>
      <c r="C53" s="181"/>
      <c r="D53" s="181"/>
      <c r="E53" s="181"/>
      <c r="F53" s="181"/>
      <c r="G53" s="181"/>
      <c r="H53" s="181"/>
      <c r="I53" s="181"/>
      <c r="J53" s="181"/>
    </row>
    <row r="54" spans="1:10" ht="12.75" customHeight="1" x14ac:dyDescent="0.35">
      <c r="A54" s="181"/>
      <c r="B54" s="181"/>
      <c r="C54" s="181"/>
      <c r="D54" s="181"/>
      <c r="E54" s="181"/>
      <c r="F54" s="181"/>
      <c r="G54" s="181"/>
      <c r="H54" s="181"/>
      <c r="I54" s="181"/>
      <c r="J54" s="181"/>
    </row>
    <row r="55" spans="1:10" ht="12.75" customHeight="1" x14ac:dyDescent="0.35">
      <c r="A55" s="181"/>
      <c r="B55" s="181"/>
      <c r="C55" s="181"/>
      <c r="D55" s="181"/>
      <c r="E55" s="181"/>
      <c r="F55" s="181"/>
      <c r="G55" s="181"/>
      <c r="H55" s="181"/>
      <c r="I55" s="181"/>
      <c r="J55" s="181"/>
    </row>
    <row r="56" spans="1:10" ht="12.75" customHeight="1" x14ac:dyDescent="0.35">
      <c r="A56" s="181"/>
      <c r="B56" s="181"/>
      <c r="C56" s="181"/>
      <c r="D56" s="181"/>
      <c r="E56" s="181"/>
      <c r="F56" s="181"/>
      <c r="G56" s="181"/>
      <c r="H56" s="181"/>
      <c r="I56" s="181"/>
      <c r="J56" s="181"/>
    </row>
    <row r="57" spans="1:10" ht="12.75" customHeight="1" x14ac:dyDescent="0.35">
      <c r="A57" s="182"/>
      <c r="B57" s="181"/>
      <c r="C57" s="181"/>
      <c r="D57" s="181"/>
      <c r="E57" s="181"/>
      <c r="F57" s="181"/>
      <c r="G57" s="181"/>
      <c r="H57" s="181"/>
      <c r="I57" s="181"/>
      <c r="J57" s="181"/>
    </row>
    <row r="58" spans="1:10" ht="12.75" customHeight="1" x14ac:dyDescent="0.35">
      <c r="A58" s="182"/>
      <c r="B58" s="182"/>
      <c r="C58" s="182"/>
      <c r="D58" s="182"/>
      <c r="E58" s="182"/>
      <c r="F58" s="182"/>
      <c r="G58" s="182"/>
      <c r="H58" s="182"/>
      <c r="I58" s="182"/>
      <c r="J58" s="182"/>
    </row>
    <row r="59" spans="1:10" ht="12.75" customHeight="1" x14ac:dyDescent="0.35">
      <c r="B59" s="182"/>
      <c r="C59" s="182"/>
      <c r="D59" s="182"/>
      <c r="E59" s="182"/>
      <c r="F59" s="182"/>
      <c r="G59" s="182"/>
      <c r="H59" s="182"/>
      <c r="I59" s="182"/>
      <c r="J59" s="182"/>
    </row>
    <row r="62" spans="1:10" ht="12.75" customHeight="1" x14ac:dyDescent="0.35">
      <c r="A62" s="180"/>
    </row>
    <row r="63" spans="1:10" ht="12.75" customHeight="1" x14ac:dyDescent="0.35">
      <c r="A63" s="181"/>
      <c r="B63" s="180"/>
      <c r="C63" s="180"/>
      <c r="D63" s="180"/>
      <c r="E63" s="180"/>
      <c r="F63" s="180"/>
      <c r="G63" s="180"/>
      <c r="H63" s="180"/>
      <c r="I63" s="180"/>
      <c r="J63" s="180"/>
    </row>
    <row r="64" spans="1:10" ht="12.75" customHeight="1" x14ac:dyDescent="0.35">
      <c r="A64" s="181"/>
      <c r="B64" s="181"/>
      <c r="C64" s="181"/>
      <c r="D64" s="181"/>
      <c r="E64" s="181"/>
      <c r="F64" s="181"/>
      <c r="G64" s="181"/>
      <c r="H64" s="181"/>
      <c r="I64" s="181"/>
      <c r="J64" s="181"/>
    </row>
    <row r="65" spans="1:10" ht="12.75" customHeight="1" x14ac:dyDescent="0.35">
      <c r="A65" s="182"/>
      <c r="B65" s="181"/>
      <c r="C65" s="181"/>
      <c r="D65" s="181"/>
      <c r="E65" s="181"/>
      <c r="F65" s="181"/>
      <c r="G65" s="181"/>
      <c r="H65" s="181"/>
      <c r="I65" s="181"/>
      <c r="J65" s="181"/>
    </row>
    <row r="66" spans="1:10" ht="12.75" customHeight="1" x14ac:dyDescent="0.35">
      <c r="B66" s="182"/>
      <c r="C66" s="182"/>
      <c r="D66" s="182"/>
      <c r="E66" s="182"/>
      <c r="F66" s="182"/>
      <c r="G66" s="182"/>
      <c r="H66" s="182"/>
      <c r="I66" s="182"/>
      <c r="J66" s="182"/>
    </row>
    <row r="80" spans="1:10" ht="12.75" customHeight="1" x14ac:dyDescent="0.35">
      <c r="A80" s="183"/>
    </row>
    <row r="81" spans="1:10" ht="12.75" customHeight="1" x14ac:dyDescent="0.35">
      <c r="A81" s="184"/>
      <c r="B81" s="183"/>
      <c r="C81" s="183"/>
      <c r="D81" s="183"/>
      <c r="E81" s="183"/>
      <c r="F81" s="183"/>
      <c r="G81" s="183"/>
      <c r="H81" s="183"/>
      <c r="I81" s="183"/>
      <c r="J81" s="183"/>
    </row>
    <row r="82" spans="1:10" ht="12.75" customHeight="1" x14ac:dyDescent="0.35">
      <c r="A82" s="184"/>
      <c r="B82" s="184"/>
      <c r="C82" s="184"/>
      <c r="D82" s="184"/>
      <c r="E82" s="184"/>
      <c r="F82" s="184"/>
      <c r="G82" s="184"/>
      <c r="H82" s="184"/>
      <c r="I82" s="184"/>
      <c r="J82" s="184"/>
    </row>
    <row r="83" spans="1:10" ht="12.75" customHeight="1" x14ac:dyDescent="0.35">
      <c r="A83" s="184"/>
      <c r="B83" s="184"/>
      <c r="C83" s="184"/>
      <c r="D83" s="184"/>
      <c r="E83" s="184"/>
      <c r="F83" s="184"/>
      <c r="G83" s="184"/>
      <c r="H83" s="184"/>
      <c r="I83" s="184"/>
      <c r="J83" s="184"/>
    </row>
    <row r="84" spans="1:10" ht="12.75" customHeight="1" x14ac:dyDescent="0.35">
      <c r="A84" s="184"/>
      <c r="B84" s="184"/>
      <c r="C84" s="184"/>
      <c r="D84" s="184"/>
      <c r="E84" s="184"/>
      <c r="F84" s="184"/>
      <c r="G84" s="184"/>
      <c r="H84" s="184"/>
      <c r="I84" s="184"/>
      <c r="J84" s="184"/>
    </row>
    <row r="85" spans="1:10" ht="12.75" customHeight="1" x14ac:dyDescent="0.35">
      <c r="A85" s="184"/>
      <c r="B85" s="184"/>
      <c r="C85" s="184"/>
      <c r="D85" s="184"/>
      <c r="E85" s="184"/>
      <c r="F85" s="184"/>
      <c r="G85" s="184"/>
      <c r="H85" s="184"/>
      <c r="I85" s="184"/>
      <c r="J85" s="184"/>
    </row>
    <row r="86" spans="1:10" ht="12.75" customHeight="1" x14ac:dyDescent="0.35">
      <c r="A86" s="185"/>
      <c r="B86" s="184"/>
      <c r="C86" s="184"/>
      <c r="D86" s="184"/>
      <c r="E86" s="184"/>
      <c r="F86" s="184"/>
      <c r="G86" s="184"/>
      <c r="H86" s="184"/>
      <c r="I86" s="184"/>
      <c r="J86" s="184"/>
    </row>
    <row r="87" spans="1:10" ht="12.75" customHeight="1" x14ac:dyDescent="0.35">
      <c r="B87" s="185"/>
      <c r="C87" s="185"/>
      <c r="D87" s="185"/>
      <c r="E87" s="185"/>
      <c r="F87" s="185"/>
      <c r="G87" s="185"/>
      <c r="H87" s="185"/>
      <c r="I87" s="185"/>
      <c r="J87" s="185"/>
    </row>
    <row r="90" spans="1:10" ht="12.75" customHeight="1" x14ac:dyDescent="0.35">
      <c r="A90" s="180"/>
    </row>
    <row r="91" spans="1:10" ht="12.75" customHeight="1" x14ac:dyDescent="0.35">
      <c r="A91" s="180"/>
    </row>
    <row r="92" spans="1:10" ht="12.75" customHeight="1" x14ac:dyDescent="0.35">
      <c r="A92" s="186"/>
      <c r="C92" s="180"/>
    </row>
    <row r="93" spans="1:10" ht="12.75" customHeight="1" x14ac:dyDescent="0.35">
      <c r="C93" s="186"/>
    </row>
    <row r="101" spans="1:3" ht="12.75" customHeight="1" x14ac:dyDescent="0.35">
      <c r="A101" s="179"/>
    </row>
    <row r="106" spans="1:3" ht="12.75" customHeight="1" x14ac:dyDescent="0.35">
      <c r="A106" s="180"/>
    </row>
    <row r="107" spans="1:3" ht="12.75" customHeight="1" x14ac:dyDescent="0.35">
      <c r="A107" s="180"/>
    </row>
    <row r="108" spans="1:3" ht="12.75" customHeight="1" x14ac:dyDescent="0.35">
      <c r="A108" s="186"/>
      <c r="B108" s="186"/>
      <c r="C108" s="180"/>
    </row>
    <row r="109" spans="1:3" ht="12.75" customHeight="1" x14ac:dyDescent="0.35">
      <c r="B109" s="186"/>
      <c r="C109" s="186"/>
    </row>
    <row r="112" spans="1:3" ht="12.75" customHeight="1" x14ac:dyDescent="0.35">
      <c r="C112" s="179"/>
    </row>
    <row r="113" spans="1:3" ht="12.75" customHeight="1" x14ac:dyDescent="0.35">
      <c r="A113" s="180"/>
    </row>
    <row r="114" spans="1:3" ht="12.75" customHeight="1" x14ac:dyDescent="0.35">
      <c r="A114" s="180"/>
    </row>
    <row r="115" spans="1:3" ht="12.75" customHeight="1" x14ac:dyDescent="0.35">
      <c r="C115" s="180"/>
    </row>
    <row r="116" spans="1:3" ht="12.75" customHeight="1" x14ac:dyDescent="0.35">
      <c r="C116" s="180"/>
    </row>
    <row r="117" spans="1:3" ht="12.75" customHeight="1" x14ac:dyDescent="0.35">
      <c r="A117" s="179"/>
      <c r="C117" s="180"/>
    </row>
    <row r="118" spans="1:3" ht="12.75" customHeight="1" x14ac:dyDescent="0.35">
      <c r="C118" s="179"/>
    </row>
    <row r="124" spans="1:3" ht="12.75" customHeight="1" x14ac:dyDescent="0.35">
      <c r="A124" s="180"/>
    </row>
    <row r="125" spans="1:3" ht="12.75" customHeight="1" x14ac:dyDescent="0.35">
      <c r="C125" s="180"/>
    </row>
    <row r="126" spans="1:3" ht="12.75" customHeight="1" x14ac:dyDescent="0.35">
      <c r="C126" s="180"/>
    </row>
    <row r="129" spans="1:7" ht="12.75" customHeight="1" x14ac:dyDescent="0.35">
      <c r="A129" s="179"/>
    </row>
    <row r="130" spans="1:7" ht="12.75" customHeight="1" x14ac:dyDescent="0.35">
      <c r="A130" s="179"/>
      <c r="C130" s="179"/>
    </row>
    <row r="131" spans="1:7" ht="12.75" customHeight="1" x14ac:dyDescent="0.35">
      <c r="A131" s="179"/>
      <c r="C131" s="179"/>
    </row>
    <row r="132" spans="1:7" ht="12.75" customHeight="1" x14ac:dyDescent="0.35">
      <c r="A132" s="179"/>
      <c r="C132" s="179"/>
    </row>
    <row r="133" spans="1:7" ht="12.75" customHeight="1" x14ac:dyDescent="0.35">
      <c r="C133" s="179"/>
    </row>
    <row r="137" spans="1:7" ht="12.75" customHeight="1" x14ac:dyDescent="0.35">
      <c r="D137" s="187"/>
      <c r="E137" s="187"/>
      <c r="F137" s="187"/>
      <c r="G137" s="187"/>
    </row>
    <row r="138" spans="1:7" ht="12.75" customHeight="1" x14ac:dyDescent="0.35">
      <c r="D138" s="179"/>
      <c r="E138" s="179"/>
      <c r="F138" s="179"/>
      <c r="G138" s="179"/>
    </row>
    <row r="139" spans="1:7" ht="12.75" customHeight="1" x14ac:dyDescent="0.35">
      <c r="D139" s="187"/>
      <c r="E139" s="187"/>
      <c r="F139" s="187"/>
      <c r="G139" s="187"/>
    </row>
    <row r="140" spans="1:7" ht="12.75" customHeight="1" x14ac:dyDescent="0.35">
      <c r="B140" s="179"/>
    </row>
    <row r="163" spans="1:1" ht="12.75" customHeight="1" x14ac:dyDescent="0.35">
      <c r="A163" s="183"/>
    </row>
    <row r="164" spans="1:1" ht="12.75" customHeight="1" x14ac:dyDescent="0.35">
      <c r="A164" s="183"/>
    </row>
    <row r="165" spans="1:1" ht="12.75" customHeight="1" x14ac:dyDescent="0.35">
      <c r="A165" s="188"/>
    </row>
    <row r="170" spans="1:1" ht="12.75" customHeight="1" x14ac:dyDescent="0.35">
      <c r="A170" s="188"/>
    </row>
    <row r="177" spans="1:1" ht="12.75" customHeight="1" x14ac:dyDescent="0.35">
      <c r="A177" s="188"/>
    </row>
    <row r="189" spans="1:1" ht="12.75" customHeight="1" x14ac:dyDescent="0.35">
      <c r="A189" s="188"/>
    </row>
    <row r="190" spans="1:1" ht="12.75" customHeight="1" x14ac:dyDescent="0.35">
      <c r="A190" s="188"/>
    </row>
    <row r="191" spans="1:1" ht="12.75" customHeight="1" x14ac:dyDescent="0.35">
      <c r="A191" s="188"/>
    </row>
    <row r="196" spans="1:1" ht="12.75" customHeight="1" x14ac:dyDescent="0.35">
      <c r="A196" s="188"/>
    </row>
    <row r="201" spans="1:1" ht="12.75" customHeight="1" x14ac:dyDescent="0.35">
      <c r="A201" s="188"/>
    </row>
  </sheetData>
  <sheetProtection algorithmName="SHA-512" hashValue="yKnV2AhUX4AKkr1AhgDoRLppKndBDboJwc9ipTn8ItawXmbC8BCval6T0bQ2BvUeMjeKPFphPjHGHN5JsdmGWQ==" saltValue="Kb3J+sbwsGw4WaOTOEhsvQ==" spinCount="100000" sheet="1" formatCells="0" formatColumns="0" formatRows="0" insertColumns="0" insertRows="0"/>
  <mergeCells count="14">
    <mergeCell ref="B1:K1"/>
    <mergeCell ref="B5:B7"/>
    <mergeCell ref="C5:C7"/>
    <mergeCell ref="D5:D7"/>
    <mergeCell ref="E5:E7"/>
    <mergeCell ref="F5:F7"/>
    <mergeCell ref="G5:G7"/>
    <mergeCell ref="H5:H7"/>
    <mergeCell ref="I5:I7"/>
    <mergeCell ref="G18:I18"/>
    <mergeCell ref="B3:K3"/>
    <mergeCell ref="J5:J7"/>
    <mergeCell ref="K5:K7"/>
    <mergeCell ref="B16:C16"/>
  </mergeCells>
  <dataValidations disablePrompts="1" count="1">
    <dataValidation allowBlank="1" showInputMessage="1" showErrorMessage="1" sqref="C12:C15" xr:uid="{00000000-0002-0000-0400-000000000000}"/>
  </dataValidations>
  <hyperlinks>
    <hyperlink ref="G18" r:id="rId1" xr:uid="{00000000-0004-0000-0400-000000000000}"/>
  </hyperlinks>
  <pageMargins left="0.25" right="0.25" top="0.75" bottom="0.75" header="0.3" footer="0.3"/>
  <pageSetup scale="84" firstPageNumber="5" orientation="landscape" r:id="rId2"/>
  <headerFooter>
    <oddFooter>&amp;L&amp;A, &amp;P&amp;R2020 WSHFC 9% Addendum</oddFooter>
  </headerFooter>
  <rowBreaks count="1" manualBreakCount="1">
    <brk id="18" max="16383" man="1"/>
  </rowBreaks>
  <colBreaks count="1" manualBreakCount="1">
    <brk id="12" max="1048575" man="1"/>
  </col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0"/>
  <sheetViews>
    <sheetView showGridLines="0" topLeftCell="A12" zoomScaleNormal="100" workbookViewId="0">
      <selection activeCell="M26" sqref="M26"/>
    </sheetView>
  </sheetViews>
  <sheetFormatPr defaultColWidth="8.81640625" defaultRowHeight="14.5" x14ac:dyDescent="0.35"/>
  <cols>
    <col min="1" max="1" width="1.7265625" style="78" customWidth="1"/>
    <col min="2" max="2" width="4" style="78" customWidth="1"/>
    <col min="3" max="3" width="2.81640625" style="78" customWidth="1"/>
    <col min="4" max="4" width="1" style="78" customWidth="1"/>
    <col min="5" max="5" width="2.81640625" style="78" customWidth="1"/>
    <col min="6" max="6" width="11.453125" style="78" customWidth="1"/>
    <col min="7" max="7" width="14.26953125" style="78" customWidth="1"/>
    <col min="8" max="8" width="16.26953125" style="78" customWidth="1"/>
    <col min="9" max="9" width="2.81640625" style="78" customWidth="1"/>
    <col min="10" max="10" width="1" style="78" customWidth="1"/>
    <col min="11" max="11" width="11.26953125" style="78" customWidth="1"/>
    <col min="12" max="12" width="14.26953125" style="78" customWidth="1"/>
    <col min="13" max="13" width="19.26953125" style="78" customWidth="1"/>
    <col min="14" max="14" width="1.1796875" style="78" customWidth="1"/>
    <col min="15" max="15" width="14.26953125" style="78" bestFit="1" customWidth="1"/>
    <col min="16" max="16384" width="8.81640625" style="78"/>
  </cols>
  <sheetData>
    <row r="1" spans="1:13" ht="18.5" x14ac:dyDescent="0.45">
      <c r="A1" s="79"/>
      <c r="B1" s="702" t="s">
        <v>451</v>
      </c>
      <c r="C1" s="702"/>
      <c r="D1" s="702"/>
      <c r="E1" s="702"/>
      <c r="F1" s="702"/>
      <c r="G1" s="702"/>
      <c r="H1" s="702"/>
      <c r="I1" s="702"/>
      <c r="J1" s="702"/>
      <c r="K1" s="702"/>
      <c r="L1" s="702"/>
      <c r="M1" s="702"/>
    </row>
    <row r="2" spans="1:13" ht="15" customHeight="1" x14ac:dyDescent="0.35">
      <c r="A2" s="199"/>
      <c r="C2" s="199"/>
      <c r="D2" s="199"/>
      <c r="E2" s="199"/>
      <c r="F2" s="199"/>
      <c r="G2" s="199"/>
      <c r="H2" s="199"/>
      <c r="I2" s="199"/>
      <c r="J2" s="199"/>
      <c r="K2" s="199"/>
      <c r="L2" s="199"/>
      <c r="M2" s="199"/>
    </row>
    <row r="3" spans="1:13" x14ac:dyDescent="0.35">
      <c r="A3" s="199"/>
      <c r="B3" s="699" t="s">
        <v>452</v>
      </c>
      <c r="C3" s="700"/>
      <c r="D3" s="700"/>
      <c r="E3" s="700"/>
      <c r="F3" s="700"/>
      <c r="G3" s="700"/>
      <c r="H3" s="700"/>
      <c r="I3" s="700"/>
      <c r="J3" s="700"/>
      <c r="K3" s="700"/>
      <c r="L3" s="700"/>
      <c r="M3" s="701"/>
    </row>
    <row r="4" spans="1:13" ht="5.25" customHeight="1" x14ac:dyDescent="0.35">
      <c r="A4" s="199"/>
      <c r="B4" s="237"/>
      <c r="C4" s="238"/>
      <c r="D4" s="238"/>
      <c r="E4" s="238"/>
      <c r="F4" s="238"/>
      <c r="G4" s="238"/>
      <c r="H4" s="238"/>
      <c r="I4" s="238"/>
      <c r="J4" s="238"/>
      <c r="K4" s="238"/>
      <c r="L4" s="238"/>
      <c r="M4" s="239"/>
    </row>
    <row r="5" spans="1:13" x14ac:dyDescent="0.35">
      <c r="B5" s="240" t="s">
        <v>453</v>
      </c>
      <c r="C5" s="705" t="s">
        <v>454</v>
      </c>
      <c r="D5" s="705"/>
      <c r="E5" s="705"/>
      <c r="F5" s="705"/>
      <c r="G5" s="705"/>
      <c r="H5" s="705"/>
      <c r="I5" s="705"/>
      <c r="J5" s="705"/>
      <c r="K5" s="705"/>
      <c r="L5" s="705"/>
      <c r="M5" s="706"/>
    </row>
    <row r="6" spans="1:13" x14ac:dyDescent="0.35">
      <c r="B6" s="240" t="s">
        <v>455</v>
      </c>
      <c r="C6" s="703" t="s">
        <v>456</v>
      </c>
      <c r="D6" s="703"/>
      <c r="E6" s="703"/>
      <c r="F6" s="703"/>
      <c r="G6" s="703"/>
      <c r="H6" s="703"/>
      <c r="I6" s="703"/>
      <c r="J6" s="703"/>
      <c r="K6" s="703"/>
      <c r="L6" s="703"/>
      <c r="M6" s="704"/>
    </row>
    <row r="7" spans="1:13" ht="30" customHeight="1" x14ac:dyDescent="0.35">
      <c r="B7" s="241" t="s">
        <v>457</v>
      </c>
      <c r="C7" s="707" t="s">
        <v>458</v>
      </c>
      <c r="D7" s="707"/>
      <c r="E7" s="707"/>
      <c r="F7" s="707"/>
      <c r="G7" s="707"/>
      <c r="H7" s="707"/>
      <c r="I7" s="707"/>
      <c r="J7" s="707"/>
      <c r="K7" s="707"/>
      <c r="L7" s="707"/>
      <c r="M7" s="708"/>
    </row>
    <row r="8" spans="1:13" x14ac:dyDescent="0.35">
      <c r="A8" s="200"/>
      <c r="B8" s="242" t="s">
        <v>459</v>
      </c>
      <c r="C8" s="707" t="s">
        <v>460</v>
      </c>
      <c r="D8" s="707"/>
      <c r="E8" s="707"/>
      <c r="F8" s="707"/>
      <c r="G8" s="707"/>
      <c r="H8" s="707"/>
      <c r="I8" s="707"/>
      <c r="J8" s="707"/>
      <c r="K8" s="707"/>
      <c r="L8" s="707"/>
      <c r="M8" s="708"/>
    </row>
    <row r="9" spans="1:13" ht="9" customHeight="1" x14ac:dyDescent="0.35">
      <c r="A9" s="200"/>
      <c r="B9" s="243"/>
      <c r="C9" s="244"/>
      <c r="D9" s="244"/>
      <c r="E9" s="244"/>
      <c r="F9" s="244"/>
      <c r="G9" s="244"/>
      <c r="H9" s="244"/>
      <c r="I9" s="244"/>
      <c r="J9" s="244"/>
      <c r="K9" s="244"/>
      <c r="L9" s="244"/>
      <c r="M9" s="245"/>
    </row>
    <row r="10" spans="1:13" ht="8.5" customHeight="1" x14ac:dyDescent="0.35">
      <c r="A10" s="200"/>
      <c r="C10" s="201"/>
      <c r="D10" s="201"/>
      <c r="E10" s="201"/>
      <c r="F10" s="201"/>
      <c r="G10" s="201"/>
      <c r="H10" s="201"/>
      <c r="I10" s="201"/>
      <c r="J10" s="201"/>
      <c r="K10" s="201"/>
      <c r="L10" s="201"/>
      <c r="M10" s="201"/>
    </row>
    <row r="11" spans="1:13" ht="15" customHeight="1" x14ac:dyDescent="0.35">
      <c r="A11" s="200"/>
      <c r="B11" s="202" t="s">
        <v>461</v>
      </c>
      <c r="C11" s="202"/>
      <c r="D11" s="202"/>
      <c r="E11" s="202"/>
      <c r="F11" s="202"/>
      <c r="G11" s="202"/>
      <c r="H11" s="201"/>
      <c r="I11" s="201"/>
      <c r="J11" s="201"/>
      <c r="K11" s="201"/>
      <c r="L11" s="201"/>
      <c r="M11" s="203" t="s">
        <v>372</v>
      </c>
    </row>
    <row r="12" spans="1:13" ht="9" customHeight="1" x14ac:dyDescent="0.35">
      <c r="A12" s="200"/>
      <c r="B12" s="202"/>
      <c r="C12" s="202"/>
      <c r="D12" s="202"/>
      <c r="E12" s="202"/>
      <c r="F12" s="202"/>
      <c r="G12" s="202"/>
      <c r="H12" s="201"/>
      <c r="I12" s="201"/>
      <c r="J12" s="201"/>
      <c r="K12" s="201"/>
      <c r="L12" s="201"/>
      <c r="M12" s="204"/>
    </row>
    <row r="13" spans="1:13" ht="15" customHeight="1" x14ac:dyDescent="0.35">
      <c r="A13" s="200"/>
      <c r="B13" s="202" t="s">
        <v>462</v>
      </c>
      <c r="C13" s="202"/>
      <c r="D13" s="202"/>
      <c r="E13" s="202"/>
      <c r="F13" s="202"/>
      <c r="G13" s="202"/>
      <c r="H13" s="201"/>
      <c r="I13" s="201"/>
      <c r="J13" s="201"/>
      <c r="K13" s="201"/>
      <c r="L13" s="205"/>
      <c r="M13" s="203" t="s">
        <v>372</v>
      </c>
    </row>
    <row r="14" spans="1:13" ht="9" customHeight="1" x14ac:dyDescent="0.35">
      <c r="A14" s="200"/>
      <c r="C14" s="201"/>
      <c r="D14" s="201"/>
      <c r="E14" s="201"/>
      <c r="F14" s="201"/>
      <c r="G14" s="201"/>
      <c r="H14" s="201"/>
      <c r="I14" s="201"/>
      <c r="J14" s="201"/>
      <c r="K14" s="201"/>
      <c r="L14" s="201"/>
      <c r="M14" s="201"/>
    </row>
    <row r="15" spans="1:13" x14ac:dyDescent="0.35">
      <c r="G15" s="206" t="s">
        <v>374</v>
      </c>
      <c r="H15" s="206" t="s">
        <v>463</v>
      </c>
      <c r="J15" s="252" t="s">
        <v>464</v>
      </c>
      <c r="L15" s="206" t="s">
        <v>465</v>
      </c>
      <c r="M15" s="206" t="s">
        <v>466</v>
      </c>
    </row>
    <row r="16" spans="1:13" ht="15" customHeight="1" x14ac:dyDescent="0.35">
      <c r="B16" s="719" t="s">
        <v>467</v>
      </c>
      <c r="C16" s="719"/>
      <c r="D16" s="719"/>
      <c r="E16" s="719"/>
      <c r="F16" s="719"/>
      <c r="G16" s="207">
        <v>100</v>
      </c>
      <c r="H16" s="207">
        <v>0</v>
      </c>
      <c r="I16" s="709">
        <v>0</v>
      </c>
      <c r="J16" s="710"/>
      <c r="K16" s="711"/>
      <c r="L16" s="207">
        <v>0</v>
      </c>
      <c r="M16" s="207">
        <v>0</v>
      </c>
    </row>
    <row r="17" spans="1:15" ht="21" customHeight="1" x14ac:dyDescent="0.35">
      <c r="B17" s="719"/>
      <c r="C17" s="719"/>
      <c r="D17" s="719"/>
      <c r="E17" s="719"/>
      <c r="F17" s="719"/>
      <c r="G17" s="199"/>
      <c r="H17" s="199"/>
      <c r="I17" s="199"/>
      <c r="J17" s="199"/>
      <c r="K17" s="199"/>
      <c r="L17" s="199"/>
      <c r="M17" s="199"/>
    </row>
    <row r="18" spans="1:15" ht="8.65" customHeight="1" x14ac:dyDescent="0.35">
      <c r="B18" s="208"/>
      <c r="C18" s="208"/>
      <c r="D18" s="208"/>
      <c r="E18" s="208"/>
      <c r="F18" s="208"/>
      <c r="G18" s="199"/>
      <c r="H18" s="199"/>
      <c r="I18" s="199"/>
      <c r="J18" s="208"/>
      <c r="K18" s="199"/>
      <c r="L18" s="199"/>
      <c r="M18" s="199"/>
    </row>
    <row r="19" spans="1:15" ht="15" customHeight="1" x14ac:dyDescent="0.35">
      <c r="B19" s="718" t="s">
        <v>468</v>
      </c>
      <c r="C19" s="718"/>
      <c r="D19" s="718"/>
      <c r="E19" s="718"/>
      <c r="F19" s="718"/>
      <c r="G19" s="246">
        <f>VLOOKUP($M$11,tdcLimitRef[],2, FALSE)</f>
        <v>0</v>
      </c>
      <c r="H19" s="246">
        <f>VLOOKUP($M$11,tdcLimitRef[],3, FALSE)</f>
        <v>0</v>
      </c>
      <c r="I19" s="720">
        <f>VLOOKUP($M$11,tdcLimitRef[],4, FALSE)</f>
        <v>0</v>
      </c>
      <c r="J19" s="721"/>
      <c r="K19" s="722"/>
      <c r="L19" s="246">
        <f>VLOOKUP($M$11,tdcLimitRef[],5, FALSE)</f>
        <v>0</v>
      </c>
      <c r="M19" s="246">
        <f>VLOOKUP($M$11,tdcLimitRef[],6, FALSE)</f>
        <v>0</v>
      </c>
    </row>
    <row r="20" spans="1:15" ht="8.65" customHeight="1" x14ac:dyDescent="0.35">
      <c r="B20" s="718"/>
      <c r="C20" s="718"/>
      <c r="D20" s="718"/>
      <c r="E20" s="718"/>
      <c r="F20" s="718"/>
      <c r="G20" s="209"/>
      <c r="H20" s="209"/>
      <c r="I20" s="209"/>
      <c r="J20" s="209"/>
      <c r="K20" s="209"/>
      <c r="L20" s="209"/>
      <c r="M20" s="209"/>
    </row>
    <row r="21" spans="1:15" ht="15" customHeight="1" thickBot="1" x14ac:dyDescent="0.4">
      <c r="A21" s="210"/>
      <c r="B21" s="716" t="s">
        <v>469</v>
      </c>
      <c r="C21" s="716"/>
      <c r="D21" s="716"/>
      <c r="E21" s="716"/>
      <c r="F21" s="717"/>
      <c r="G21" s="247">
        <f>G16*G19</f>
        <v>0</v>
      </c>
      <c r="H21" s="247">
        <f>H16*H19</f>
        <v>0</v>
      </c>
      <c r="I21" s="695">
        <f>I16*I19</f>
        <v>0</v>
      </c>
      <c r="J21" s="696"/>
      <c r="K21" s="697"/>
      <c r="L21" s="247">
        <f>L16*L19</f>
        <v>0</v>
      </c>
      <c r="M21" s="246">
        <f>M16*M19</f>
        <v>0</v>
      </c>
    </row>
    <row r="22" spans="1:15" ht="15" thickBot="1" x14ac:dyDescent="0.4">
      <c r="B22" s="211" t="s">
        <v>470</v>
      </c>
      <c r="G22" s="247">
        <f>VLOOKUP($M$13, Table2022[],2, FALSE)</f>
        <v>0</v>
      </c>
      <c r="H22" s="247">
        <f>VLOOKUP($M$13, Table2022[],3, FALSE)</f>
        <v>0</v>
      </c>
      <c r="I22" s="695">
        <f>VLOOKUP($M$13, Table2022[],4, FALSE)</f>
        <v>0</v>
      </c>
      <c r="J22" s="696"/>
      <c r="K22" s="697"/>
      <c r="L22" s="247">
        <f>VLOOKUP($M$13, Table2022[],5, FALSE)</f>
        <v>0</v>
      </c>
      <c r="M22" s="246">
        <f>VLOOKUP($M$13, Table2022[],6, FALSE)</f>
        <v>0</v>
      </c>
      <c r="N22" s="212"/>
      <c r="O22" s="249">
        <f>SUM(G22+H22+K22+L22+M22)</f>
        <v>0</v>
      </c>
    </row>
    <row r="23" spans="1:15" ht="15.5" thickTop="1" thickBot="1" x14ac:dyDescent="0.4">
      <c r="B23" s="712" t="s">
        <v>471</v>
      </c>
      <c r="C23" s="712"/>
      <c r="D23" s="712"/>
      <c r="E23" s="712"/>
      <c r="F23" s="712"/>
      <c r="G23" s="712"/>
      <c r="H23" s="712"/>
      <c r="I23" s="712"/>
      <c r="J23" s="712"/>
      <c r="K23" s="712"/>
      <c r="L23" s="713"/>
      <c r="M23" s="248">
        <f>SUM(G21:M21)</f>
        <v>0</v>
      </c>
    </row>
    <row r="24" spans="1:15" ht="8.5" customHeight="1" thickTop="1" x14ac:dyDescent="0.35">
      <c r="B24" s="79"/>
      <c r="C24" s="79"/>
      <c r="D24" s="79"/>
      <c r="E24" s="79"/>
      <c r="F24" s="79"/>
      <c r="G24" s="79"/>
      <c r="H24" s="79"/>
      <c r="I24" s="79"/>
      <c r="J24" s="79"/>
      <c r="K24" s="79"/>
      <c r="L24" s="79"/>
      <c r="M24" s="213"/>
    </row>
    <row r="25" spans="1:15" x14ac:dyDescent="0.35">
      <c r="B25" s="714" t="s">
        <v>472</v>
      </c>
      <c r="C25" s="714"/>
      <c r="D25" s="714"/>
      <c r="E25" s="714"/>
      <c r="F25" s="714"/>
      <c r="G25" s="714"/>
      <c r="H25" s="714"/>
      <c r="I25" s="714"/>
      <c r="J25" s="714"/>
      <c r="K25" s="714"/>
      <c r="L25" s="715"/>
      <c r="M25" s="214">
        <v>0</v>
      </c>
    </row>
    <row r="26" spans="1:15" x14ac:dyDescent="0.35">
      <c r="B26" s="215" t="s">
        <v>473</v>
      </c>
      <c r="C26" s="79"/>
      <c r="E26" s="79"/>
      <c r="F26" s="79"/>
      <c r="G26" s="79"/>
      <c r="H26" s="79"/>
      <c r="I26" s="79"/>
      <c r="K26" s="79"/>
      <c r="L26" s="79"/>
      <c r="M26" s="214">
        <v>0</v>
      </c>
    </row>
    <row r="27" spans="1:15" x14ac:dyDescent="0.35">
      <c r="B27" s="215" t="s">
        <v>474</v>
      </c>
      <c r="C27" s="79"/>
      <c r="E27" s="79"/>
      <c r="F27" s="79"/>
      <c r="G27" s="79"/>
      <c r="H27" s="79"/>
      <c r="I27" s="79"/>
      <c r="K27" s="79"/>
      <c r="L27" s="79"/>
      <c r="M27" s="216">
        <v>0</v>
      </c>
    </row>
    <row r="28" spans="1:15" x14ac:dyDescent="0.35">
      <c r="B28" s="217" t="s">
        <v>475</v>
      </c>
      <c r="C28" s="218"/>
      <c r="D28" s="219"/>
      <c r="E28" s="219"/>
      <c r="F28" s="219"/>
      <c r="G28" s="219"/>
      <c r="H28" s="219"/>
      <c r="I28" s="219"/>
      <c r="J28" s="219"/>
      <c r="K28" s="219"/>
      <c r="L28" s="219"/>
      <c r="M28" s="220">
        <v>0</v>
      </c>
    </row>
    <row r="29" spans="1:15" x14ac:dyDescent="0.35">
      <c r="B29" s="79" t="s">
        <v>476</v>
      </c>
      <c r="C29" s="79"/>
      <c r="D29" s="79"/>
      <c r="E29" s="79"/>
      <c r="F29" s="79"/>
      <c r="G29" s="79"/>
      <c r="H29" s="79"/>
      <c r="I29" s="79"/>
      <c r="J29" s="79"/>
      <c r="K29" s="79"/>
      <c r="L29" s="79"/>
      <c r="M29" s="250">
        <f>M25-M26-M27-M28</f>
        <v>0</v>
      </c>
    </row>
    <row r="30" spans="1:15" ht="15" thickBot="1" x14ac:dyDescent="0.4"/>
    <row r="31" spans="1:15" ht="15.5" thickTop="1" thickBot="1" x14ac:dyDescent="0.4">
      <c r="B31" s="222" t="s">
        <v>477</v>
      </c>
      <c r="C31" s="223"/>
      <c r="D31" s="223"/>
      <c r="E31" s="223"/>
      <c r="F31" s="223"/>
      <c r="G31" s="223"/>
      <c r="H31" s="223"/>
      <c r="I31" s="223"/>
      <c r="J31" s="223"/>
      <c r="K31" s="223"/>
      <c r="L31" s="223"/>
      <c r="M31" s="251" t="str">
        <f>IF(M29&gt;M23, "NO","YES")</f>
        <v>YES</v>
      </c>
    </row>
    <row r="32" spans="1:15" ht="15.5" thickTop="1" thickBot="1" x14ac:dyDescent="0.4">
      <c r="B32" s="79"/>
      <c r="M32" s="224"/>
    </row>
    <row r="33" spans="2:14" ht="15" customHeight="1" x14ac:dyDescent="0.35">
      <c r="B33" s="686" t="s">
        <v>478</v>
      </c>
      <c r="C33" s="687"/>
      <c r="D33" s="687"/>
      <c r="E33" s="687"/>
      <c r="F33" s="687"/>
      <c r="G33" s="687"/>
      <c r="H33" s="687"/>
      <c r="I33" s="687"/>
      <c r="J33" s="687"/>
      <c r="K33" s="687"/>
      <c r="L33" s="687"/>
      <c r="M33" s="687"/>
      <c r="N33" s="256"/>
    </row>
    <row r="34" spans="2:14" x14ac:dyDescent="0.35">
      <c r="B34" s="688"/>
      <c r="C34" s="689"/>
      <c r="D34" s="689"/>
      <c r="E34" s="689"/>
      <c r="F34" s="689"/>
      <c r="G34" s="689"/>
      <c r="H34" s="689"/>
      <c r="I34" s="689"/>
      <c r="J34" s="689"/>
      <c r="K34" s="689"/>
      <c r="L34" s="689"/>
      <c r="M34" s="689"/>
      <c r="N34" s="254"/>
    </row>
    <row r="35" spans="2:14" x14ac:dyDescent="0.35">
      <c r="B35" s="225"/>
      <c r="M35" s="224"/>
      <c r="N35" s="254"/>
    </row>
    <row r="36" spans="2:14" x14ac:dyDescent="0.35">
      <c r="B36" s="226"/>
      <c r="C36" s="207"/>
      <c r="D36" s="79" t="s">
        <v>479</v>
      </c>
      <c r="E36" s="227"/>
      <c r="F36" s="228"/>
      <c r="H36" s="690" t="s">
        <v>480</v>
      </c>
      <c r="I36" s="690"/>
      <c r="J36" s="690"/>
      <c r="K36" s="690"/>
      <c r="L36" s="691"/>
      <c r="M36" s="253"/>
      <c r="N36" s="212"/>
    </row>
    <row r="37" spans="2:14" ht="5.25" customHeight="1" thickBot="1" x14ac:dyDescent="0.4">
      <c r="B37" s="229"/>
      <c r="C37" s="230"/>
      <c r="D37" s="230"/>
      <c r="E37" s="230"/>
      <c r="F37" s="230"/>
      <c r="G37" s="230"/>
      <c r="H37" s="230"/>
      <c r="I37" s="231"/>
      <c r="J37" s="231"/>
      <c r="K37" s="231"/>
      <c r="L37" s="231"/>
      <c r="M37" s="230"/>
      <c r="N37" s="254"/>
    </row>
    <row r="38" spans="2:14" ht="9" customHeight="1" x14ac:dyDescent="0.35">
      <c r="B38" s="228"/>
      <c r="C38" s="228"/>
      <c r="D38" s="228"/>
      <c r="E38" s="221"/>
      <c r="F38" s="227"/>
      <c r="G38" s="228"/>
      <c r="H38" s="228"/>
      <c r="I38" s="228"/>
      <c r="J38" s="228"/>
      <c r="K38" s="228"/>
      <c r="L38" s="228"/>
      <c r="M38" s="221"/>
      <c r="N38" s="255"/>
    </row>
    <row r="39" spans="2:14" ht="14.5" customHeight="1" x14ac:dyDescent="0.35">
      <c r="B39" s="698" t="s">
        <v>481</v>
      </c>
      <c r="C39" s="698"/>
      <c r="D39" s="698"/>
      <c r="E39" s="698"/>
      <c r="F39" s="698"/>
      <c r="G39" s="698"/>
      <c r="H39" s="698"/>
      <c r="I39" s="698"/>
      <c r="J39" s="698"/>
      <c r="K39" s="698"/>
      <c r="L39" s="698"/>
      <c r="M39" s="698"/>
    </row>
    <row r="40" spans="2:14" ht="14.5" customHeight="1" x14ac:dyDescent="0.35">
      <c r="B40" s="199"/>
      <c r="C40" s="199"/>
      <c r="D40" s="199"/>
      <c r="E40" s="199"/>
      <c r="F40" s="199"/>
      <c r="G40" s="199"/>
      <c r="H40" s="199"/>
      <c r="I40" s="199"/>
      <c r="J40" s="199"/>
      <c r="K40" s="199"/>
      <c r="L40" s="199"/>
      <c r="M40" s="199"/>
    </row>
    <row r="41" spans="2:14" ht="14.5" customHeight="1" x14ac:dyDescent="0.35">
      <c r="B41" s="79" t="s">
        <v>482</v>
      </c>
      <c r="I41" s="232" t="s">
        <v>483</v>
      </c>
    </row>
    <row r="42" spans="2:14" x14ac:dyDescent="0.35">
      <c r="B42" s="233"/>
      <c r="C42" s="234"/>
      <c r="D42" s="235"/>
      <c r="E42" s="236" t="s">
        <v>484</v>
      </c>
      <c r="I42" s="207"/>
      <c r="K42" s="78" t="s">
        <v>485</v>
      </c>
    </row>
    <row r="43" spans="2:14" x14ac:dyDescent="0.35">
      <c r="B43" s="233"/>
      <c r="C43" s="234"/>
      <c r="D43" s="235"/>
      <c r="E43" s="236" t="s">
        <v>486</v>
      </c>
      <c r="I43" s="207"/>
      <c r="K43" s="78" t="s">
        <v>487</v>
      </c>
    </row>
    <row r="44" spans="2:14" x14ac:dyDescent="0.35">
      <c r="B44" s="233"/>
      <c r="C44" s="234"/>
      <c r="D44" s="235"/>
      <c r="E44" s="236" t="s">
        <v>488</v>
      </c>
    </row>
    <row r="45" spans="2:14" x14ac:dyDescent="0.35">
      <c r="B45" s="233"/>
      <c r="C45" s="234"/>
      <c r="D45" s="235"/>
      <c r="E45" s="236" t="s">
        <v>489</v>
      </c>
      <c r="I45" s="232" t="s">
        <v>490</v>
      </c>
    </row>
    <row r="46" spans="2:14" x14ac:dyDescent="0.35">
      <c r="B46" s="233"/>
      <c r="C46" s="234"/>
      <c r="D46" s="235"/>
      <c r="E46" s="236" t="s">
        <v>491</v>
      </c>
      <c r="I46" s="207"/>
      <c r="J46" s="78" t="s">
        <v>492</v>
      </c>
    </row>
    <row r="47" spans="2:14" x14ac:dyDescent="0.35">
      <c r="B47" s="692"/>
      <c r="C47" s="693"/>
      <c r="D47" s="694"/>
      <c r="E47" s="236" t="s">
        <v>493</v>
      </c>
      <c r="I47" s="207"/>
      <c r="J47" s="78" t="s">
        <v>494</v>
      </c>
    </row>
    <row r="48" spans="2:14" x14ac:dyDescent="0.35">
      <c r="I48" s="207"/>
      <c r="J48" s="78" t="s">
        <v>495</v>
      </c>
    </row>
    <row r="49" spans="2:10" x14ac:dyDescent="0.35">
      <c r="B49" s="232" t="s">
        <v>496</v>
      </c>
      <c r="I49" s="207"/>
      <c r="J49" s="78" t="s">
        <v>497</v>
      </c>
    </row>
    <row r="50" spans="2:10" x14ac:dyDescent="0.35">
      <c r="B50" s="692"/>
      <c r="C50" s="693"/>
      <c r="D50" s="694"/>
      <c r="E50" s="78" t="s">
        <v>498</v>
      </c>
      <c r="I50" s="207"/>
      <c r="J50" s="78" t="s">
        <v>499</v>
      </c>
    </row>
  </sheetData>
  <sheetProtection algorithmName="SHA-512" hashValue="unBkIgahyFdUQ728YRQDyTqcbEoFfruJJru4ieThIorWig4xq0nAeTJDp6dukyrp5ITxNyP4Nb2qB0Mo+8k+Pg==" saltValue="alO+Ry7QYqnhwcgJgi6sug==" spinCount="100000" sheet="1" objects="1" scenarios="1" formatCells="0" formatColumns="0" formatRows="0"/>
  <mergeCells count="20">
    <mergeCell ref="I16:K16"/>
    <mergeCell ref="B23:L23"/>
    <mergeCell ref="B25:L25"/>
    <mergeCell ref="B21:F21"/>
    <mergeCell ref="B19:F20"/>
    <mergeCell ref="B16:F17"/>
    <mergeCell ref="I19:K19"/>
    <mergeCell ref="I21:K21"/>
    <mergeCell ref="B3:M3"/>
    <mergeCell ref="B1:M1"/>
    <mergeCell ref="C6:M6"/>
    <mergeCell ref="C5:M5"/>
    <mergeCell ref="C8:M8"/>
    <mergeCell ref="C7:M7"/>
    <mergeCell ref="B33:M34"/>
    <mergeCell ref="H36:L36"/>
    <mergeCell ref="B47:D47"/>
    <mergeCell ref="I22:K22"/>
    <mergeCell ref="B50:D50"/>
    <mergeCell ref="B39:M39"/>
  </mergeCells>
  <dataValidations count="2">
    <dataValidation allowBlank="1" showInputMessage="1" sqref="M26:M28" xr:uid="{00000000-0002-0000-0300-000000000000}"/>
    <dataValidation type="whole" allowBlank="1" showInputMessage="1" showErrorMessage="1" sqref="G16:M16" xr:uid="{CE6BEC88-3E3D-4421-9BC7-8ED0D75F7AFB}">
      <formula1>0</formula1>
      <formula2>100000</formula2>
    </dataValidation>
  </dataValidations>
  <pageMargins left="0.7" right="0.7" top="0.75" bottom="0.75" header="0.3" footer="0.3"/>
  <pageSetup scale="89" firstPageNumber="5" orientation="portrait" r:id="rId1"/>
  <headerFooter>
    <oddFooter>&amp;L&amp;A - &amp;P&amp;R2020 WSHFC 9% Addendum</oddFooter>
  </headerFooter>
  <colBreaks count="1" manualBreakCount="1">
    <brk id="14" max="1048575" man="1"/>
  </colBreaks>
  <ignoredErrors>
    <ignoredError sqref="B5:B8" numberStoredAsText="1"/>
  </ignoredErrors>
  <extLst>
    <ext xmlns:x14="http://schemas.microsoft.com/office/spreadsheetml/2009/9/main" uri="{CCE6A557-97BC-4b89-ADB6-D9C93CAAB3DF}">
      <x14:dataValidations xmlns:xm="http://schemas.microsoft.com/office/excel/2006/main" count="2">
        <x14:dataValidation type="list" allowBlank="1" showInputMessage="1" prompt="Projects located in area other than Seattle that fit the definition of an Urban Project may request to be allowed to use the TDC limits one category higher than their current category." xr:uid="{00000000-0002-0000-0300-000001000000}">
          <x14:formula1>
            <xm:f>_ScoringList!$B$378:$B$382</xm:f>
          </x14:formula1>
          <xm:sqref>M11</xm:sqref>
        </x14:dataValidation>
        <x14:dataValidation type="list" allowBlank="1" showInputMessage="1" showErrorMessage="1" xr:uid="{EA60F65D-C15B-4E36-9D38-132AD4949CA5}">
          <x14:formula1>
            <xm:f>_ScoringList!$B$396:$B$400</xm:f>
          </x14:formula1>
          <xm:sqref>M13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9"/>
  <sheetViews>
    <sheetView workbookViewId="0">
      <selection activeCell="B8" sqref="B8"/>
    </sheetView>
  </sheetViews>
  <sheetFormatPr defaultRowHeight="14.5" x14ac:dyDescent="0.35"/>
  <cols>
    <col min="1" max="1" width="11.7265625" bestFit="1" customWidth="1"/>
    <col min="2" max="2" width="27.81640625" bestFit="1" customWidth="1"/>
    <col min="3" max="3" width="29.7265625" bestFit="1" customWidth="1"/>
    <col min="4" max="4" width="23.7265625" bestFit="1" customWidth="1"/>
    <col min="5" max="5" width="23.7265625" customWidth="1"/>
    <col min="6" max="6" width="32.81640625" bestFit="1" customWidth="1"/>
    <col min="7" max="7" width="31.1796875" bestFit="1" customWidth="1"/>
    <col min="8" max="8" width="35.81640625" bestFit="1" customWidth="1"/>
    <col min="9" max="9" width="39.1796875" bestFit="1" customWidth="1"/>
  </cols>
  <sheetData>
    <row r="1" spans="1:9" x14ac:dyDescent="0.35">
      <c r="A1" t="s">
        <v>500</v>
      </c>
      <c r="B1" s="55" t="s">
        <v>501</v>
      </c>
      <c r="C1" s="55" t="s">
        <v>502</v>
      </c>
      <c r="D1" s="55" t="s">
        <v>503</v>
      </c>
      <c r="E1" t="s">
        <v>504</v>
      </c>
      <c r="F1" s="55" t="s">
        <v>505</v>
      </c>
      <c r="G1" s="55" t="s">
        <v>506</v>
      </c>
      <c r="H1" s="55" t="s">
        <v>507</v>
      </c>
      <c r="I1" s="55" t="s">
        <v>508</v>
      </c>
    </row>
    <row r="2" spans="1:9" x14ac:dyDescent="0.35">
      <c r="B2" s="56">
        <f>'LIHTC Rents'!B8</f>
        <v>0</v>
      </c>
      <c r="C2" s="57">
        <f>('LIHTC Rents'!C8)</f>
        <v>0</v>
      </c>
      <c r="D2" s="56">
        <f>'LIHTC Rents'!D8</f>
        <v>0</v>
      </c>
      <c r="E2" s="56">
        <f>'LIHTC Rents'!E8</f>
        <v>0</v>
      </c>
      <c r="F2" s="56">
        <f>'LIHTC Rents'!F8</f>
        <v>0</v>
      </c>
      <c r="G2" s="56">
        <f>'LIHTC Rents'!G8</f>
        <v>0</v>
      </c>
      <c r="H2">
        <f>'LIHTC Rents'!I8</f>
        <v>0</v>
      </c>
      <c r="I2">
        <f>'LIHTC Rents'!K8</f>
        <v>0</v>
      </c>
    </row>
    <row r="3" spans="1:9" x14ac:dyDescent="0.35">
      <c r="B3" s="56">
        <f>'LIHTC Rents'!B9</f>
        <v>0</v>
      </c>
      <c r="C3" s="57">
        <f>('LIHTC Rents'!C9)</f>
        <v>0</v>
      </c>
      <c r="D3" s="56">
        <f>'LIHTC Rents'!D9</f>
        <v>0</v>
      </c>
      <c r="E3" s="56">
        <f>'LIHTC Rents'!E9</f>
        <v>0</v>
      </c>
      <c r="F3" s="56">
        <f>'LIHTC Rents'!F9</f>
        <v>0</v>
      </c>
      <c r="G3" s="56">
        <f>'LIHTC Rents'!G9</f>
        <v>0</v>
      </c>
      <c r="H3">
        <f>'LIHTC Rents'!I9</f>
        <v>0</v>
      </c>
      <c r="I3">
        <f>'LIHTC Rents'!K9</f>
        <v>0</v>
      </c>
    </row>
    <row r="4" spans="1:9" x14ac:dyDescent="0.35">
      <c r="B4" s="56">
        <f>'LIHTC Rents'!B10</f>
        <v>0</v>
      </c>
      <c r="C4" s="57">
        <f>('LIHTC Rents'!C10)</f>
        <v>0</v>
      </c>
      <c r="D4" s="56">
        <f>'LIHTC Rents'!D10</f>
        <v>0</v>
      </c>
      <c r="E4" s="56">
        <f>'LIHTC Rents'!E10</f>
        <v>0</v>
      </c>
      <c r="F4" s="56">
        <f>'LIHTC Rents'!F10</f>
        <v>0</v>
      </c>
      <c r="G4" s="56">
        <f>'LIHTC Rents'!G10</f>
        <v>0</v>
      </c>
      <c r="H4">
        <f>'LIHTC Rents'!I10</f>
        <v>0</v>
      </c>
      <c r="I4">
        <f>'LIHTC Rents'!K10</f>
        <v>0</v>
      </c>
    </row>
    <row r="5" spans="1:9" x14ac:dyDescent="0.35">
      <c r="B5" s="56">
        <f>'LIHTC Rents'!B11</f>
        <v>0</v>
      </c>
      <c r="C5" s="57">
        <f>('LIHTC Rents'!C11)</f>
        <v>0</v>
      </c>
      <c r="D5" s="56">
        <f>'LIHTC Rents'!D11</f>
        <v>0</v>
      </c>
      <c r="E5" s="56">
        <f>'LIHTC Rents'!E11</f>
        <v>0</v>
      </c>
      <c r="F5" s="56">
        <f>'LIHTC Rents'!F11</f>
        <v>0</v>
      </c>
      <c r="G5" s="56">
        <f>'LIHTC Rents'!G11</f>
        <v>0</v>
      </c>
      <c r="H5">
        <f>'LIHTC Rents'!I11</f>
        <v>0</v>
      </c>
      <c r="I5">
        <f>'LIHTC Rents'!K11</f>
        <v>0</v>
      </c>
    </row>
    <row r="6" spans="1:9" x14ac:dyDescent="0.35">
      <c r="B6" s="56">
        <f>'LIHTC Rents'!B12</f>
        <v>0</v>
      </c>
      <c r="C6" s="57">
        <f>('LIHTC Rents'!C12)</f>
        <v>0</v>
      </c>
      <c r="D6" s="56">
        <f>'LIHTC Rents'!D12</f>
        <v>0</v>
      </c>
      <c r="E6" s="56">
        <f>'LIHTC Rents'!E12</f>
        <v>0</v>
      </c>
      <c r="F6" s="56">
        <f>'LIHTC Rents'!F12</f>
        <v>0</v>
      </c>
      <c r="G6" s="56">
        <f>'LIHTC Rents'!G12</f>
        <v>0</v>
      </c>
      <c r="H6">
        <f>'LIHTC Rents'!I12</f>
        <v>0</v>
      </c>
      <c r="I6">
        <f>'LIHTC Rents'!K12</f>
        <v>0</v>
      </c>
    </row>
    <row r="7" spans="1:9" x14ac:dyDescent="0.35">
      <c r="B7" s="56">
        <f>'LIHTC Rents'!B13</f>
        <v>0</v>
      </c>
      <c r="C7" s="57">
        <f>('LIHTC Rents'!C13)</f>
        <v>0</v>
      </c>
      <c r="D7" s="56">
        <f>'LIHTC Rents'!D13</f>
        <v>0</v>
      </c>
      <c r="E7" s="56">
        <f>'LIHTC Rents'!E13</f>
        <v>0</v>
      </c>
      <c r="F7" s="56">
        <f>'LIHTC Rents'!F13</f>
        <v>0</v>
      </c>
      <c r="G7" s="56">
        <f>'LIHTC Rents'!G13</f>
        <v>0</v>
      </c>
      <c r="H7">
        <f>'LIHTC Rents'!I13</f>
        <v>0</v>
      </c>
      <c r="I7">
        <f>'LIHTC Rents'!K13</f>
        <v>0</v>
      </c>
    </row>
    <row r="8" spans="1:9" x14ac:dyDescent="0.35">
      <c r="B8" s="56">
        <f>'LIHTC Rents'!B14</f>
        <v>0</v>
      </c>
      <c r="C8" s="57">
        <f>('LIHTC Rents'!C14)</f>
        <v>0</v>
      </c>
      <c r="D8" s="56">
        <f>'LIHTC Rents'!D14</f>
        <v>0</v>
      </c>
      <c r="E8" s="56">
        <f>'LIHTC Rents'!E14</f>
        <v>0</v>
      </c>
      <c r="F8" s="56">
        <f>'LIHTC Rents'!F14</f>
        <v>0</v>
      </c>
      <c r="G8" s="56">
        <f>'LIHTC Rents'!G14</f>
        <v>0</v>
      </c>
      <c r="H8">
        <f>'LIHTC Rents'!I14</f>
        <v>0</v>
      </c>
      <c r="I8">
        <f>'LIHTC Rents'!K14</f>
        <v>0</v>
      </c>
    </row>
    <row r="9" spans="1:9" x14ac:dyDescent="0.35">
      <c r="B9" s="56">
        <f>'LIHTC Rents'!B15</f>
        <v>0</v>
      </c>
      <c r="C9" s="57">
        <f>('LIHTC Rents'!C15)</f>
        <v>0</v>
      </c>
      <c r="D9" s="56">
        <f>'LIHTC Rents'!D15</f>
        <v>0</v>
      </c>
      <c r="E9" s="56">
        <f>'LIHTC Rents'!E15</f>
        <v>0</v>
      </c>
      <c r="F9" s="56">
        <f>'LIHTC Rents'!F15</f>
        <v>0</v>
      </c>
      <c r="G9" s="56">
        <f>'LIHTC Rents'!G15</f>
        <v>0</v>
      </c>
      <c r="H9">
        <f>'LIHTC Rents'!I15</f>
        <v>0</v>
      </c>
      <c r="I9">
        <f>'LIHTC Rents'!K15</f>
        <v>0</v>
      </c>
    </row>
    <row r="10" spans="1:9" x14ac:dyDescent="0.35">
      <c r="B10" s="56"/>
      <c r="C10" s="57"/>
      <c r="D10" s="56"/>
      <c r="E10" s="56"/>
      <c r="F10" s="56"/>
      <c r="G10" s="56"/>
    </row>
    <row r="11" spans="1:9" x14ac:dyDescent="0.35">
      <c r="B11" s="56"/>
      <c r="C11" s="57"/>
      <c r="D11" s="56"/>
      <c r="E11" s="56"/>
      <c r="F11" s="56"/>
      <c r="G11" s="56"/>
    </row>
    <row r="12" spans="1:9" x14ac:dyDescent="0.35">
      <c r="B12" s="56"/>
      <c r="C12" s="57"/>
      <c r="D12" s="56"/>
      <c r="E12" s="56"/>
      <c r="F12" s="56"/>
      <c r="G12" s="56"/>
    </row>
    <row r="13" spans="1:9" x14ac:dyDescent="0.35">
      <c r="B13" s="56"/>
      <c r="C13" s="57"/>
      <c r="D13" s="56"/>
      <c r="E13" s="56"/>
      <c r="F13" s="56"/>
      <c r="G13" s="56"/>
    </row>
    <row r="14" spans="1:9" x14ac:dyDescent="0.35">
      <c r="B14" s="56"/>
      <c r="C14" s="57"/>
      <c r="D14" s="56"/>
      <c r="E14" s="56"/>
      <c r="F14" s="56"/>
      <c r="G14" s="56"/>
    </row>
    <row r="15" spans="1:9" x14ac:dyDescent="0.35">
      <c r="B15" s="56"/>
      <c r="C15" s="57"/>
      <c r="D15" s="56"/>
      <c r="E15" s="56"/>
      <c r="F15" s="56"/>
      <c r="G15" s="56"/>
    </row>
    <row r="16" spans="1:9" x14ac:dyDescent="0.35">
      <c r="B16" s="56"/>
      <c r="C16" s="57"/>
      <c r="D16" s="56"/>
      <c r="E16" s="56"/>
      <c r="F16" s="56"/>
      <c r="G16" s="56"/>
    </row>
    <row r="17" spans="2:7" x14ac:dyDescent="0.35">
      <c r="B17" s="56"/>
      <c r="C17" s="57"/>
      <c r="D17" s="56"/>
      <c r="E17" s="56"/>
      <c r="F17" s="56"/>
      <c r="G17" s="56"/>
    </row>
    <row r="18" spans="2:7" x14ac:dyDescent="0.35">
      <c r="B18" s="56"/>
      <c r="C18" s="57"/>
      <c r="D18" s="56"/>
      <c r="E18" s="56"/>
      <c r="F18" s="56"/>
      <c r="G18" s="56"/>
    </row>
    <row r="19" spans="2:7" x14ac:dyDescent="0.35">
      <c r="B19" s="56"/>
      <c r="C19" s="57"/>
      <c r="D19" s="56"/>
      <c r="E19" s="56"/>
      <c r="F19" s="56"/>
      <c r="G19" s="56"/>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139"/>
  <sheetViews>
    <sheetView showGridLines="0" zoomScaleNormal="100" workbookViewId="0">
      <selection activeCell="H25" sqref="H25"/>
    </sheetView>
  </sheetViews>
  <sheetFormatPr defaultColWidth="9.1796875" defaultRowHeight="14.5" x14ac:dyDescent="0.35"/>
  <cols>
    <col min="1" max="1" width="1.7265625" customWidth="1"/>
    <col min="6" max="6" width="9.1796875" customWidth="1"/>
    <col min="7" max="7" width="9.81640625" customWidth="1"/>
    <col min="8" max="8" width="11" customWidth="1"/>
    <col min="9" max="14" width="11" bestFit="1" customWidth="1"/>
    <col min="15" max="15" width="3.7265625" customWidth="1"/>
  </cols>
  <sheetData>
    <row r="1" spans="1:15" x14ac:dyDescent="0.35">
      <c r="A1" s="257"/>
      <c r="B1" s="257"/>
      <c r="C1" s="257"/>
      <c r="D1" s="257"/>
      <c r="E1" s="257"/>
      <c r="F1" s="257"/>
      <c r="G1" s="257"/>
      <c r="H1" s="257"/>
      <c r="I1" s="257"/>
      <c r="J1" s="257"/>
      <c r="K1" s="257"/>
      <c r="L1" s="257"/>
      <c r="M1" s="257"/>
      <c r="N1" s="257"/>
      <c r="O1" s="257"/>
    </row>
    <row r="2" spans="1:15" x14ac:dyDescent="0.35">
      <c r="A2" s="257"/>
      <c r="B2" s="257"/>
      <c r="C2" s="257"/>
      <c r="D2" s="257"/>
      <c r="E2" s="257"/>
      <c r="F2" s="257"/>
      <c r="G2" s="257"/>
      <c r="H2" s="257"/>
      <c r="I2" s="257"/>
      <c r="J2" s="257"/>
      <c r="K2" s="257"/>
      <c r="L2" s="257"/>
      <c r="M2" s="257"/>
      <c r="N2" s="257"/>
      <c r="O2" s="257"/>
    </row>
    <row r="3" spans="1:15" x14ac:dyDescent="0.35">
      <c r="A3" s="257"/>
      <c r="B3" s="257"/>
      <c r="C3" s="257"/>
      <c r="D3" s="257"/>
      <c r="E3" s="257"/>
      <c r="F3" s="257"/>
      <c r="G3" s="257"/>
      <c r="H3" s="257"/>
      <c r="I3" s="257"/>
      <c r="J3" s="257"/>
      <c r="K3" s="257"/>
      <c r="L3" s="257"/>
      <c r="M3" s="257"/>
      <c r="N3" s="257"/>
      <c r="O3" s="257"/>
    </row>
    <row r="4" spans="1:15" x14ac:dyDescent="0.35">
      <c r="A4" s="257"/>
      <c r="B4" s="257"/>
      <c r="C4" s="257"/>
      <c r="D4" s="257"/>
      <c r="E4" s="257"/>
      <c r="F4" s="257"/>
      <c r="G4" s="257"/>
      <c r="H4" s="257"/>
      <c r="I4" s="257"/>
      <c r="J4" s="257"/>
      <c r="K4" s="257"/>
      <c r="L4" s="257"/>
      <c r="M4" s="257"/>
      <c r="N4" s="257"/>
      <c r="O4" s="257"/>
    </row>
    <row r="5" spans="1:15" x14ac:dyDescent="0.35">
      <c r="A5" s="257"/>
      <c r="B5" s="257"/>
      <c r="C5" s="257"/>
      <c r="D5" s="257"/>
      <c r="E5" s="257"/>
      <c r="F5" s="257"/>
      <c r="G5" s="257"/>
      <c r="H5" s="257"/>
      <c r="I5" s="257"/>
      <c r="J5" s="257"/>
      <c r="K5" s="257"/>
      <c r="L5" s="257"/>
      <c r="M5" s="257"/>
      <c r="N5" s="257"/>
      <c r="O5" s="257"/>
    </row>
    <row r="6" spans="1:15" x14ac:dyDescent="0.35">
      <c r="A6" s="257"/>
      <c r="B6" s="257"/>
      <c r="C6" s="257"/>
      <c r="D6" s="257"/>
      <c r="E6" s="257"/>
      <c r="F6" s="257"/>
      <c r="G6" s="257"/>
      <c r="H6" s="257"/>
      <c r="I6" s="257"/>
      <c r="J6" s="257"/>
      <c r="K6" s="257"/>
      <c r="L6" s="257"/>
      <c r="M6" s="257"/>
      <c r="N6" s="257"/>
      <c r="O6" s="257"/>
    </row>
    <row r="7" spans="1:15" x14ac:dyDescent="0.35">
      <c r="A7" s="257"/>
      <c r="B7" s="257"/>
      <c r="C7" s="257"/>
      <c r="D7" s="257"/>
      <c r="E7" s="257"/>
      <c r="F7" s="257"/>
      <c r="G7" s="257"/>
      <c r="H7" s="257"/>
      <c r="I7" s="257"/>
      <c r="J7" s="257"/>
      <c r="K7" s="257"/>
      <c r="L7" s="257"/>
      <c r="M7" s="257"/>
      <c r="N7" s="257"/>
      <c r="O7" s="257"/>
    </row>
    <row r="8" spans="1:15" x14ac:dyDescent="0.35">
      <c r="A8" s="257"/>
      <c r="B8" s="257"/>
      <c r="C8" s="257"/>
      <c r="D8" s="257"/>
      <c r="E8" s="257"/>
      <c r="F8" s="257"/>
      <c r="G8" s="257"/>
      <c r="H8" s="257"/>
      <c r="I8" s="257"/>
      <c r="J8" s="257"/>
      <c r="K8" s="257"/>
      <c r="L8" s="257"/>
      <c r="M8" s="257"/>
      <c r="N8" s="257"/>
      <c r="O8" s="257"/>
    </row>
    <row r="9" spans="1:15" ht="7.9" customHeight="1" x14ac:dyDescent="0.35">
      <c r="A9" s="258"/>
      <c r="B9" s="755"/>
      <c r="C9" s="755"/>
      <c r="D9" s="755"/>
      <c r="E9" s="755"/>
      <c r="F9" s="755"/>
      <c r="G9" s="755"/>
      <c r="H9" s="755"/>
      <c r="I9" s="755"/>
      <c r="J9" s="755"/>
      <c r="K9" s="755"/>
      <c r="L9" s="755"/>
      <c r="M9" s="755"/>
      <c r="N9" s="755"/>
      <c r="O9" s="258"/>
    </row>
    <row r="10" spans="1:15" ht="7.9" customHeight="1" x14ac:dyDescent="0.35">
      <c r="A10" s="258"/>
      <c r="B10" s="258"/>
      <c r="C10" s="259"/>
      <c r="D10" s="258"/>
      <c r="E10" s="258"/>
      <c r="F10" s="258"/>
      <c r="G10" s="258"/>
      <c r="H10" s="259"/>
      <c r="I10" s="259"/>
      <c r="J10" s="259"/>
      <c r="K10" s="259"/>
      <c r="L10" s="259"/>
      <c r="M10" s="260"/>
      <c r="N10" s="259"/>
      <c r="O10" s="259"/>
    </row>
    <row r="11" spans="1:15" ht="15" thickBot="1" x14ac:dyDescent="0.4">
      <c r="A11" s="258"/>
      <c r="B11" s="261" t="s">
        <v>509</v>
      </c>
      <c r="C11" s="262"/>
      <c r="D11" s="263"/>
      <c r="E11" s="263"/>
      <c r="F11" s="263"/>
      <c r="G11" s="263"/>
      <c r="H11" s="262"/>
      <c r="I11" s="262"/>
      <c r="J11" s="262"/>
      <c r="K11" s="262"/>
      <c r="L11" s="262"/>
      <c r="M11" s="264"/>
      <c r="N11" s="262"/>
      <c r="O11" s="259"/>
    </row>
    <row r="12" spans="1:15" ht="15" thickBot="1" x14ac:dyDescent="0.4">
      <c r="A12" s="257"/>
      <c r="B12" s="265"/>
      <c r="C12" s="258"/>
      <c r="D12" s="257"/>
      <c r="E12" s="257"/>
      <c r="F12" s="257"/>
      <c r="G12" s="265"/>
      <c r="H12" s="266" t="s">
        <v>510</v>
      </c>
      <c r="I12" s="267" t="s">
        <v>511</v>
      </c>
      <c r="J12" s="267" t="s">
        <v>512</v>
      </c>
      <c r="K12" s="267" t="s">
        <v>513</v>
      </c>
      <c r="L12" s="267" t="s">
        <v>514</v>
      </c>
      <c r="M12" s="267" t="s">
        <v>515</v>
      </c>
      <c r="N12" s="268" t="s">
        <v>516</v>
      </c>
      <c r="O12" s="257"/>
    </row>
    <row r="13" spans="1:15" x14ac:dyDescent="0.35">
      <c r="A13" s="257"/>
      <c r="B13" s="269" t="s">
        <v>517</v>
      </c>
      <c r="C13" s="257"/>
      <c r="D13" s="257"/>
      <c r="E13" s="257"/>
      <c r="F13" s="270" t="s">
        <v>518</v>
      </c>
      <c r="G13" s="257"/>
      <c r="H13" s="271"/>
      <c r="I13" s="272"/>
      <c r="J13" s="272"/>
      <c r="K13" s="272"/>
      <c r="L13" s="272"/>
      <c r="M13" s="272"/>
      <c r="N13" s="273"/>
      <c r="O13" s="257"/>
    </row>
    <row r="14" spans="1:15" x14ac:dyDescent="0.35">
      <c r="A14" s="257"/>
      <c r="B14" s="274" t="s">
        <v>519</v>
      </c>
      <c r="C14" s="257"/>
      <c r="D14" s="257"/>
      <c r="E14" s="275"/>
      <c r="F14" s="20">
        <v>2.5000000000000001E-2</v>
      </c>
      <c r="G14" s="257"/>
      <c r="H14" s="276">
        <f>'LIHTC Rents'!K16</f>
        <v>0</v>
      </c>
      <c r="I14" s="277">
        <f t="shared" ref="I14:N16" si="0">H14*(1+$F$14)</f>
        <v>0</v>
      </c>
      <c r="J14" s="277">
        <f t="shared" si="0"/>
        <v>0</v>
      </c>
      <c r="K14" s="277">
        <f t="shared" si="0"/>
        <v>0</v>
      </c>
      <c r="L14" s="277">
        <f t="shared" si="0"/>
        <v>0</v>
      </c>
      <c r="M14" s="277">
        <f t="shared" si="0"/>
        <v>0</v>
      </c>
      <c r="N14" s="278">
        <f t="shared" si="0"/>
        <v>0</v>
      </c>
      <c r="O14" s="257"/>
    </row>
    <row r="15" spans="1:15" ht="15" customHeight="1" x14ac:dyDescent="0.35">
      <c r="A15" s="257"/>
      <c r="B15" s="274" t="s">
        <v>520</v>
      </c>
      <c r="C15" s="756" t="s">
        <v>521</v>
      </c>
      <c r="D15" s="756"/>
      <c r="E15" s="756"/>
      <c r="F15" s="280"/>
      <c r="G15" s="257"/>
      <c r="H15" s="25">
        <v>0</v>
      </c>
      <c r="I15" s="277">
        <f t="shared" si="0"/>
        <v>0</v>
      </c>
      <c r="J15" s="277">
        <f t="shared" si="0"/>
        <v>0</v>
      </c>
      <c r="K15" s="277">
        <f t="shared" si="0"/>
        <v>0</v>
      </c>
      <c r="L15" s="277">
        <f t="shared" si="0"/>
        <v>0</v>
      </c>
      <c r="M15" s="277">
        <f t="shared" si="0"/>
        <v>0</v>
      </c>
      <c r="N15" s="278">
        <f t="shared" si="0"/>
        <v>0</v>
      </c>
      <c r="O15" s="257"/>
    </row>
    <row r="16" spans="1:15" x14ac:dyDescent="0.35">
      <c r="A16" s="257"/>
      <c r="B16" s="281" t="s">
        <v>520</v>
      </c>
      <c r="C16" s="757" t="s">
        <v>522</v>
      </c>
      <c r="D16" s="757"/>
      <c r="E16" s="757"/>
      <c r="F16" s="279"/>
      <c r="G16" s="282"/>
      <c r="H16" s="24">
        <v>0</v>
      </c>
      <c r="I16" s="405">
        <f>H16*(1+$F$14)</f>
        <v>0</v>
      </c>
      <c r="J16" s="277">
        <f t="shared" si="0"/>
        <v>0</v>
      </c>
      <c r="K16" s="277">
        <f t="shared" si="0"/>
        <v>0</v>
      </c>
      <c r="L16" s="277">
        <f t="shared" si="0"/>
        <v>0</v>
      </c>
      <c r="M16" s="277">
        <f t="shared" si="0"/>
        <v>0</v>
      </c>
      <c r="N16" s="278">
        <f t="shared" si="0"/>
        <v>0</v>
      </c>
      <c r="O16" s="257"/>
    </row>
    <row r="17" spans="1:15" x14ac:dyDescent="0.35">
      <c r="A17" s="257"/>
      <c r="B17" s="280" t="s">
        <v>523</v>
      </c>
      <c r="C17" s="265"/>
      <c r="D17" s="257"/>
      <c r="E17" s="257"/>
      <c r="F17" s="257"/>
      <c r="G17" s="283" t="s">
        <v>15</v>
      </c>
      <c r="H17" s="276">
        <f>SUM(H14:H16)</f>
        <v>0</v>
      </c>
      <c r="I17" s="277">
        <f t="shared" ref="I17:N17" si="1">SUM(I14:I16)</f>
        <v>0</v>
      </c>
      <c r="J17" s="284">
        <f t="shared" si="1"/>
        <v>0</v>
      </c>
      <c r="K17" s="284">
        <f t="shared" si="1"/>
        <v>0</v>
      </c>
      <c r="L17" s="284">
        <f t="shared" si="1"/>
        <v>0</v>
      </c>
      <c r="M17" s="284">
        <f t="shared" si="1"/>
        <v>0</v>
      </c>
      <c r="N17" s="285">
        <f t="shared" si="1"/>
        <v>0</v>
      </c>
      <c r="O17" s="257"/>
    </row>
    <row r="18" spans="1:15" x14ac:dyDescent="0.35">
      <c r="A18" s="257"/>
      <c r="B18" s="269"/>
      <c r="C18" s="257"/>
      <c r="D18" s="257"/>
      <c r="E18" s="257"/>
      <c r="F18" s="270" t="s">
        <v>518</v>
      </c>
      <c r="H18" s="752"/>
      <c r="I18" s="753"/>
      <c r="J18" s="753"/>
      <c r="K18" s="753"/>
      <c r="L18" s="753"/>
      <c r="M18" s="753"/>
      <c r="N18" s="754"/>
      <c r="O18" s="257"/>
    </row>
    <row r="19" spans="1:15" ht="15" thickBot="1" x14ac:dyDescent="0.4">
      <c r="A19" s="257"/>
      <c r="B19" s="286" t="s">
        <v>524</v>
      </c>
      <c r="C19" s="287"/>
      <c r="D19" s="287"/>
      <c r="E19" s="287"/>
      <c r="F19" s="21">
        <v>7.0000000000000007E-2</v>
      </c>
      <c r="G19" s="287"/>
      <c r="H19" s="288">
        <f>H17*-($F$19)</f>
        <v>0</v>
      </c>
      <c r="I19" s="289">
        <f t="shared" ref="I19:N19" si="2">I17*-($F$19)</f>
        <v>0</v>
      </c>
      <c r="J19" s="289">
        <f t="shared" si="2"/>
        <v>0</v>
      </c>
      <c r="K19" s="289">
        <f t="shared" si="2"/>
        <v>0</v>
      </c>
      <c r="L19" s="289">
        <f t="shared" si="2"/>
        <v>0</v>
      </c>
      <c r="M19" s="289">
        <f t="shared" si="2"/>
        <v>0</v>
      </c>
      <c r="N19" s="290">
        <f t="shared" si="2"/>
        <v>0</v>
      </c>
      <c r="O19" s="257"/>
    </row>
    <row r="20" spans="1:15" ht="15.5" thickTop="1" thickBot="1" x14ac:dyDescent="0.4">
      <c r="A20" s="257"/>
      <c r="B20" s="291" t="s">
        <v>525</v>
      </c>
      <c r="C20" s="257"/>
      <c r="D20" s="257"/>
      <c r="E20" s="257"/>
      <c r="F20" s="257"/>
      <c r="G20" s="283" t="s">
        <v>15</v>
      </c>
      <c r="H20" s="292">
        <f t="shared" ref="H20:N20" si="3">SUM(H17+H19)</f>
        <v>0</v>
      </c>
      <c r="I20" s="293">
        <f t="shared" si="3"/>
        <v>0</v>
      </c>
      <c r="J20" s="293">
        <f t="shared" si="3"/>
        <v>0</v>
      </c>
      <c r="K20" s="293">
        <f t="shared" si="3"/>
        <v>0</v>
      </c>
      <c r="L20" s="293">
        <f t="shared" si="3"/>
        <v>0</v>
      </c>
      <c r="M20" s="293">
        <f t="shared" si="3"/>
        <v>0</v>
      </c>
      <c r="N20" s="294">
        <f t="shared" si="3"/>
        <v>0</v>
      </c>
      <c r="O20" s="257"/>
    </row>
    <row r="21" spans="1:15" ht="7.9" customHeight="1" x14ac:dyDescent="0.35">
      <c r="A21" s="257"/>
      <c r="B21" s="257"/>
      <c r="C21" s="257"/>
      <c r="D21" s="257"/>
      <c r="E21" s="257"/>
      <c r="F21" s="257"/>
      <c r="G21" s="257"/>
      <c r="H21" s="257"/>
      <c r="I21" s="257"/>
      <c r="J21" s="257"/>
      <c r="K21" s="257"/>
      <c r="L21" s="257"/>
      <c r="M21" s="257"/>
      <c r="N21" s="257"/>
      <c r="O21" s="257"/>
    </row>
    <row r="22" spans="1:15" ht="15" thickBot="1" x14ac:dyDescent="0.4">
      <c r="A22" s="258"/>
      <c r="B22" s="261" t="s">
        <v>526</v>
      </c>
      <c r="C22" s="262"/>
      <c r="D22" s="262"/>
      <c r="E22" s="262"/>
      <c r="F22" s="262"/>
      <c r="G22" s="262"/>
      <c r="H22" s="262"/>
      <c r="I22" s="262"/>
      <c r="J22" s="262"/>
      <c r="K22" s="264"/>
      <c r="L22" s="262"/>
      <c r="M22" s="262"/>
      <c r="N22" s="262"/>
      <c r="O22" s="259"/>
    </row>
    <row r="23" spans="1:15" ht="24.5" thickBot="1" x14ac:dyDescent="0.4">
      <c r="A23" s="258"/>
      <c r="B23" s="269" t="s">
        <v>527</v>
      </c>
      <c r="C23" s="258"/>
      <c r="D23" s="280"/>
      <c r="E23" s="295" t="s">
        <v>518</v>
      </c>
      <c r="F23" s="258"/>
      <c r="G23" s="296" t="s">
        <v>528</v>
      </c>
      <c r="H23" s="266" t="s">
        <v>510</v>
      </c>
      <c r="I23" s="267" t="s">
        <v>511</v>
      </c>
      <c r="J23" s="267" t="s">
        <v>512</v>
      </c>
      <c r="K23" s="267" t="s">
        <v>513</v>
      </c>
      <c r="L23" s="267" t="s">
        <v>514</v>
      </c>
      <c r="M23" s="267" t="s">
        <v>515</v>
      </c>
      <c r="N23" s="268" t="s">
        <v>516</v>
      </c>
      <c r="O23" s="258"/>
    </row>
    <row r="24" spans="1:15" x14ac:dyDescent="0.35">
      <c r="A24" s="258"/>
      <c r="B24" s="297" t="s">
        <v>529</v>
      </c>
      <c r="C24" s="297"/>
      <c r="D24" s="297"/>
      <c r="E24" s="20">
        <v>3.5000000000000003E-2</v>
      </c>
      <c r="F24" s="298"/>
      <c r="G24" s="299" t="str">
        <f>IFERROR(H24/'LIHTC Rents'!$D$16, "")</f>
        <v/>
      </c>
      <c r="H24" s="26">
        <v>0</v>
      </c>
      <c r="I24" s="300">
        <f t="shared" ref="I24:N33" si="4">H24*(1+$E$24)</f>
        <v>0</v>
      </c>
      <c r="J24" s="300">
        <f t="shared" si="4"/>
        <v>0</v>
      </c>
      <c r="K24" s="300">
        <f t="shared" si="4"/>
        <v>0</v>
      </c>
      <c r="L24" s="300">
        <f t="shared" si="4"/>
        <v>0</v>
      </c>
      <c r="M24" s="300">
        <f t="shared" si="4"/>
        <v>0</v>
      </c>
      <c r="N24" s="301">
        <f t="shared" si="4"/>
        <v>0</v>
      </c>
      <c r="O24" s="258"/>
    </row>
    <row r="25" spans="1:15" x14ac:dyDescent="0.35">
      <c r="A25" s="258"/>
      <c r="B25" s="302" t="s">
        <v>530</v>
      </c>
      <c r="C25" s="302"/>
      <c r="D25" s="302"/>
      <c r="E25" s="302"/>
      <c r="F25" s="302"/>
      <c r="G25" s="299" t="str">
        <f>IFERROR(H25/'LIHTC Rents'!$D$16, "")</f>
        <v/>
      </c>
      <c r="H25" s="26">
        <v>0</v>
      </c>
      <c r="I25" s="300">
        <f t="shared" si="4"/>
        <v>0</v>
      </c>
      <c r="J25" s="300">
        <f t="shared" si="4"/>
        <v>0</v>
      </c>
      <c r="K25" s="300">
        <f t="shared" si="4"/>
        <v>0</v>
      </c>
      <c r="L25" s="300">
        <f t="shared" si="4"/>
        <v>0</v>
      </c>
      <c r="M25" s="300">
        <f t="shared" si="4"/>
        <v>0</v>
      </c>
      <c r="N25" s="301">
        <f t="shared" si="4"/>
        <v>0</v>
      </c>
      <c r="O25" s="258"/>
    </row>
    <row r="26" spans="1:15" x14ac:dyDescent="0.35">
      <c r="A26" s="258"/>
      <c r="B26" s="302" t="s">
        <v>531</v>
      </c>
      <c r="C26" s="302"/>
      <c r="D26" s="302"/>
      <c r="E26" s="302"/>
      <c r="F26" s="302"/>
      <c r="G26" s="299" t="str">
        <f>IFERROR(H26/'LIHTC Rents'!$D$16, "")</f>
        <v/>
      </c>
      <c r="H26" s="26">
        <v>0</v>
      </c>
      <c r="I26" s="300">
        <f t="shared" si="4"/>
        <v>0</v>
      </c>
      <c r="J26" s="300">
        <f t="shared" si="4"/>
        <v>0</v>
      </c>
      <c r="K26" s="300">
        <f t="shared" si="4"/>
        <v>0</v>
      </c>
      <c r="L26" s="300">
        <f t="shared" si="4"/>
        <v>0</v>
      </c>
      <c r="M26" s="300">
        <f t="shared" si="4"/>
        <v>0</v>
      </c>
      <c r="N26" s="301">
        <f t="shared" si="4"/>
        <v>0</v>
      </c>
      <c r="O26" s="258"/>
    </row>
    <row r="27" spans="1:15" x14ac:dyDescent="0.35">
      <c r="A27" s="258"/>
      <c r="B27" s="302" t="s">
        <v>532</v>
      </c>
      <c r="C27" s="302"/>
      <c r="D27" s="302"/>
      <c r="E27" s="302"/>
      <c r="F27" s="302"/>
      <c r="G27" s="299" t="str">
        <f>IFERROR(H27/'LIHTC Rents'!$D$16, "")</f>
        <v/>
      </c>
      <c r="H27" s="26">
        <v>0</v>
      </c>
      <c r="I27" s="300">
        <f t="shared" si="4"/>
        <v>0</v>
      </c>
      <c r="J27" s="300">
        <f t="shared" si="4"/>
        <v>0</v>
      </c>
      <c r="K27" s="300">
        <f t="shared" si="4"/>
        <v>0</v>
      </c>
      <c r="L27" s="300">
        <f t="shared" si="4"/>
        <v>0</v>
      </c>
      <c r="M27" s="300">
        <f t="shared" si="4"/>
        <v>0</v>
      </c>
      <c r="N27" s="301">
        <f t="shared" si="4"/>
        <v>0</v>
      </c>
      <c r="O27" s="258"/>
    </row>
    <row r="28" spans="1:15" x14ac:dyDescent="0.35">
      <c r="A28" s="258"/>
      <c r="B28" s="302" t="s">
        <v>533</v>
      </c>
      <c r="C28" s="302"/>
      <c r="D28" s="302"/>
      <c r="E28" s="302"/>
      <c r="F28" s="302"/>
      <c r="G28" s="299" t="str">
        <f>IFERROR(H28/'LIHTC Rents'!$D$16, "")</f>
        <v/>
      </c>
      <c r="H28" s="26">
        <v>0</v>
      </c>
      <c r="I28" s="300">
        <f t="shared" si="4"/>
        <v>0</v>
      </c>
      <c r="J28" s="300">
        <f t="shared" si="4"/>
        <v>0</v>
      </c>
      <c r="K28" s="300">
        <f t="shared" si="4"/>
        <v>0</v>
      </c>
      <c r="L28" s="300">
        <f t="shared" si="4"/>
        <v>0</v>
      </c>
      <c r="M28" s="300">
        <f t="shared" si="4"/>
        <v>0</v>
      </c>
      <c r="N28" s="301">
        <f t="shared" si="4"/>
        <v>0</v>
      </c>
      <c r="O28" s="258"/>
    </row>
    <row r="29" spans="1:15" x14ac:dyDescent="0.35">
      <c r="A29" s="258"/>
      <c r="B29" s="302" t="s">
        <v>534</v>
      </c>
      <c r="C29" s="302"/>
      <c r="D29" s="302"/>
      <c r="E29" s="302"/>
      <c r="F29" s="302"/>
      <c r="G29" s="299" t="str">
        <f>IFERROR(H29/'LIHTC Rents'!$D$16, "")</f>
        <v/>
      </c>
      <c r="H29" s="26">
        <v>0</v>
      </c>
      <c r="I29" s="300">
        <f t="shared" si="4"/>
        <v>0</v>
      </c>
      <c r="J29" s="300">
        <f t="shared" si="4"/>
        <v>0</v>
      </c>
      <c r="K29" s="300">
        <f t="shared" si="4"/>
        <v>0</v>
      </c>
      <c r="L29" s="300">
        <f t="shared" si="4"/>
        <v>0</v>
      </c>
      <c r="M29" s="300">
        <f t="shared" si="4"/>
        <v>0</v>
      </c>
      <c r="N29" s="301">
        <f t="shared" si="4"/>
        <v>0</v>
      </c>
      <c r="O29" s="258"/>
    </row>
    <row r="30" spans="1:15" x14ac:dyDescent="0.35">
      <c r="A30" s="258"/>
      <c r="B30" s="302" t="s">
        <v>535</v>
      </c>
      <c r="C30" s="302"/>
      <c r="D30" s="302"/>
      <c r="E30" s="302"/>
      <c r="F30" s="302"/>
      <c r="G30" s="299" t="str">
        <f>IFERROR(H30/'LIHTC Rents'!$D$16, "")</f>
        <v/>
      </c>
      <c r="H30" s="26">
        <v>0</v>
      </c>
      <c r="I30" s="300">
        <f t="shared" si="4"/>
        <v>0</v>
      </c>
      <c r="J30" s="300">
        <f t="shared" si="4"/>
        <v>0</v>
      </c>
      <c r="K30" s="300">
        <f t="shared" si="4"/>
        <v>0</v>
      </c>
      <c r="L30" s="300">
        <f t="shared" si="4"/>
        <v>0</v>
      </c>
      <c r="M30" s="300">
        <f t="shared" si="4"/>
        <v>0</v>
      </c>
      <c r="N30" s="301">
        <f t="shared" si="4"/>
        <v>0</v>
      </c>
      <c r="O30" s="258"/>
    </row>
    <row r="31" spans="1:15" x14ac:dyDescent="0.35">
      <c r="A31" s="258"/>
      <c r="B31" s="302" t="s">
        <v>536</v>
      </c>
      <c r="C31" s="302"/>
      <c r="D31" s="302"/>
      <c r="E31" s="302"/>
      <c r="F31" s="302"/>
      <c r="G31" s="299" t="str">
        <f>IFERROR(H31/'LIHTC Rents'!$D$16, "")</f>
        <v/>
      </c>
      <c r="H31" s="26">
        <v>0</v>
      </c>
      <c r="I31" s="300">
        <f t="shared" si="4"/>
        <v>0</v>
      </c>
      <c r="J31" s="300">
        <f t="shared" si="4"/>
        <v>0</v>
      </c>
      <c r="K31" s="300">
        <f t="shared" si="4"/>
        <v>0</v>
      </c>
      <c r="L31" s="300">
        <f t="shared" si="4"/>
        <v>0</v>
      </c>
      <c r="M31" s="300">
        <f t="shared" si="4"/>
        <v>0</v>
      </c>
      <c r="N31" s="301">
        <f t="shared" si="4"/>
        <v>0</v>
      </c>
      <c r="O31" s="258"/>
    </row>
    <row r="32" spans="1:15" x14ac:dyDescent="0.35">
      <c r="A32" s="258"/>
      <c r="B32" s="302" t="s">
        <v>537</v>
      </c>
      <c r="C32" s="302"/>
      <c r="D32" s="302"/>
      <c r="E32" s="302"/>
      <c r="F32" s="302"/>
      <c r="G32" s="299" t="str">
        <f>IFERROR(H32/'LIHTC Rents'!$D$16, "")</f>
        <v/>
      </c>
      <c r="H32" s="26">
        <v>0</v>
      </c>
      <c r="I32" s="300">
        <f t="shared" si="4"/>
        <v>0</v>
      </c>
      <c r="J32" s="300">
        <f t="shared" si="4"/>
        <v>0</v>
      </c>
      <c r="K32" s="300">
        <f t="shared" si="4"/>
        <v>0</v>
      </c>
      <c r="L32" s="300">
        <f t="shared" si="4"/>
        <v>0</v>
      </c>
      <c r="M32" s="300">
        <f t="shared" si="4"/>
        <v>0</v>
      </c>
      <c r="N32" s="301">
        <f t="shared" si="4"/>
        <v>0</v>
      </c>
      <c r="O32" s="258"/>
    </row>
    <row r="33" spans="1:15" x14ac:dyDescent="0.35">
      <c r="A33" s="258"/>
      <c r="B33" s="302" t="s">
        <v>538</v>
      </c>
      <c r="C33" s="302"/>
      <c r="D33" s="302"/>
      <c r="E33" s="302"/>
      <c r="F33" s="302"/>
      <c r="G33" s="299" t="str">
        <f>IFERROR(H33/'LIHTC Rents'!$D$16, "")</f>
        <v/>
      </c>
      <c r="H33" s="26">
        <v>0</v>
      </c>
      <c r="I33" s="300">
        <f t="shared" si="4"/>
        <v>0</v>
      </c>
      <c r="J33" s="300">
        <f t="shared" si="4"/>
        <v>0</v>
      </c>
      <c r="K33" s="300">
        <f t="shared" si="4"/>
        <v>0</v>
      </c>
      <c r="L33" s="300">
        <f t="shared" si="4"/>
        <v>0</v>
      </c>
      <c r="M33" s="300">
        <f t="shared" si="4"/>
        <v>0</v>
      </c>
      <c r="N33" s="301">
        <f t="shared" si="4"/>
        <v>0</v>
      </c>
      <c r="O33" s="258"/>
    </row>
    <row r="34" spans="1:15" x14ac:dyDescent="0.35">
      <c r="A34" s="258"/>
      <c r="B34" s="302" t="s">
        <v>539</v>
      </c>
      <c r="C34" s="302"/>
      <c r="D34" s="302"/>
      <c r="E34" s="302"/>
      <c r="F34" s="302"/>
      <c r="G34" s="299" t="str">
        <f>IFERROR(H34/'LIHTC Rents'!$D$16, "")</f>
        <v/>
      </c>
      <c r="H34" s="26">
        <v>0</v>
      </c>
      <c r="I34" s="300">
        <f t="shared" ref="I34:N43" si="5">H34*(1+$E$24)</f>
        <v>0</v>
      </c>
      <c r="J34" s="300">
        <f t="shared" si="5"/>
        <v>0</v>
      </c>
      <c r="K34" s="300">
        <f t="shared" si="5"/>
        <v>0</v>
      </c>
      <c r="L34" s="300">
        <f t="shared" si="5"/>
        <v>0</v>
      </c>
      <c r="M34" s="300">
        <f t="shared" si="5"/>
        <v>0</v>
      </c>
      <c r="N34" s="301">
        <f t="shared" si="5"/>
        <v>0</v>
      </c>
      <c r="O34" s="258"/>
    </row>
    <row r="35" spans="1:15" x14ac:dyDescent="0.35">
      <c r="A35" s="258"/>
      <c r="B35" s="302" t="s">
        <v>540</v>
      </c>
      <c r="C35" s="302"/>
      <c r="D35" s="302"/>
      <c r="E35" s="302"/>
      <c r="F35" s="302"/>
      <c r="G35" s="299" t="str">
        <f>IFERROR(H35/'LIHTC Rents'!$D$16, "")</f>
        <v/>
      </c>
      <c r="H35" s="26">
        <v>0</v>
      </c>
      <c r="I35" s="300">
        <f t="shared" si="5"/>
        <v>0</v>
      </c>
      <c r="J35" s="300">
        <f t="shared" si="5"/>
        <v>0</v>
      </c>
      <c r="K35" s="300">
        <f t="shared" si="5"/>
        <v>0</v>
      </c>
      <c r="L35" s="300">
        <f t="shared" si="5"/>
        <v>0</v>
      </c>
      <c r="M35" s="300">
        <f t="shared" si="5"/>
        <v>0</v>
      </c>
      <c r="N35" s="301">
        <f t="shared" si="5"/>
        <v>0</v>
      </c>
      <c r="O35" s="258"/>
    </row>
    <row r="36" spans="1:15" x14ac:dyDescent="0.35">
      <c r="A36" s="258"/>
      <c r="B36" s="302" t="s">
        <v>541</v>
      </c>
      <c r="C36" s="302"/>
      <c r="D36" s="302"/>
      <c r="E36" s="302"/>
      <c r="F36" s="302"/>
      <c r="G36" s="299" t="str">
        <f>IFERROR(H36/'LIHTC Rents'!$D$16, "")</f>
        <v/>
      </c>
      <c r="H36" s="26">
        <v>0</v>
      </c>
      <c r="I36" s="300">
        <f t="shared" si="5"/>
        <v>0</v>
      </c>
      <c r="J36" s="300">
        <f t="shared" si="5"/>
        <v>0</v>
      </c>
      <c r="K36" s="300">
        <f t="shared" si="5"/>
        <v>0</v>
      </c>
      <c r="L36" s="300">
        <f t="shared" si="5"/>
        <v>0</v>
      </c>
      <c r="M36" s="300">
        <f t="shared" si="5"/>
        <v>0</v>
      </c>
      <c r="N36" s="301">
        <f t="shared" si="5"/>
        <v>0</v>
      </c>
      <c r="O36" s="258"/>
    </row>
    <row r="37" spans="1:15" x14ac:dyDescent="0.35">
      <c r="A37" s="258"/>
      <c r="B37" s="302" t="s">
        <v>542</v>
      </c>
      <c r="C37" s="302"/>
      <c r="D37" s="302"/>
      <c r="E37" s="302"/>
      <c r="F37" s="302"/>
      <c r="G37" s="299" t="str">
        <f>IFERROR(H37/'LIHTC Rents'!$D$16, "")</f>
        <v/>
      </c>
      <c r="H37" s="26">
        <v>0</v>
      </c>
      <c r="I37" s="300">
        <f t="shared" si="5"/>
        <v>0</v>
      </c>
      <c r="J37" s="300">
        <f t="shared" si="5"/>
        <v>0</v>
      </c>
      <c r="K37" s="300">
        <f t="shared" si="5"/>
        <v>0</v>
      </c>
      <c r="L37" s="300">
        <f t="shared" si="5"/>
        <v>0</v>
      </c>
      <c r="M37" s="300">
        <f t="shared" si="5"/>
        <v>0</v>
      </c>
      <c r="N37" s="301">
        <f t="shared" si="5"/>
        <v>0</v>
      </c>
      <c r="O37" s="258"/>
    </row>
    <row r="38" spans="1:15" x14ac:dyDescent="0.35">
      <c r="A38" s="258"/>
      <c r="B38" s="302" t="s">
        <v>543</v>
      </c>
      <c r="C38" s="302"/>
      <c r="D38" s="302"/>
      <c r="E38" s="302"/>
      <c r="F38" s="302"/>
      <c r="G38" s="299" t="str">
        <f>IFERROR(H38/'LIHTC Rents'!$D$16, "")</f>
        <v/>
      </c>
      <c r="H38" s="26">
        <v>0</v>
      </c>
      <c r="I38" s="300">
        <f t="shared" si="5"/>
        <v>0</v>
      </c>
      <c r="J38" s="300">
        <f t="shared" si="5"/>
        <v>0</v>
      </c>
      <c r="K38" s="300">
        <f t="shared" si="5"/>
        <v>0</v>
      </c>
      <c r="L38" s="300">
        <f t="shared" si="5"/>
        <v>0</v>
      </c>
      <c r="M38" s="300">
        <f t="shared" si="5"/>
        <v>0</v>
      </c>
      <c r="N38" s="301">
        <f t="shared" si="5"/>
        <v>0</v>
      </c>
      <c r="O38" s="258"/>
    </row>
    <row r="39" spans="1:15" x14ac:dyDescent="0.35">
      <c r="A39" s="258"/>
      <c r="B39" s="302" t="s">
        <v>544</v>
      </c>
      <c r="C39" s="302"/>
      <c r="D39" s="302"/>
      <c r="E39" s="302"/>
      <c r="F39" s="302"/>
      <c r="G39" s="299" t="str">
        <f>IFERROR(H39/'LIHTC Rents'!$D$16, "")</f>
        <v/>
      </c>
      <c r="H39" s="26">
        <v>0</v>
      </c>
      <c r="I39" s="300">
        <f t="shared" si="5"/>
        <v>0</v>
      </c>
      <c r="J39" s="300">
        <f t="shared" si="5"/>
        <v>0</v>
      </c>
      <c r="K39" s="300">
        <f t="shared" si="5"/>
        <v>0</v>
      </c>
      <c r="L39" s="300">
        <f t="shared" si="5"/>
        <v>0</v>
      </c>
      <c r="M39" s="300">
        <f t="shared" si="5"/>
        <v>0</v>
      </c>
      <c r="N39" s="301">
        <f t="shared" si="5"/>
        <v>0</v>
      </c>
      <c r="O39" s="258"/>
    </row>
    <row r="40" spans="1:15" x14ac:dyDescent="0.35">
      <c r="A40" s="258"/>
      <c r="B40" s="302" t="s">
        <v>545</v>
      </c>
      <c r="C40" s="302"/>
      <c r="D40" s="302"/>
      <c r="E40" s="302"/>
      <c r="F40" s="302"/>
      <c r="G40" s="299" t="str">
        <f>IFERROR(H40/'LIHTC Rents'!$D$16, "")</f>
        <v/>
      </c>
      <c r="H40" s="26">
        <v>0</v>
      </c>
      <c r="I40" s="300">
        <f t="shared" si="5"/>
        <v>0</v>
      </c>
      <c r="J40" s="300">
        <f t="shared" si="5"/>
        <v>0</v>
      </c>
      <c r="K40" s="300">
        <f t="shared" si="5"/>
        <v>0</v>
      </c>
      <c r="L40" s="300">
        <f t="shared" si="5"/>
        <v>0</v>
      </c>
      <c r="M40" s="300">
        <f t="shared" si="5"/>
        <v>0</v>
      </c>
      <c r="N40" s="301">
        <f t="shared" si="5"/>
        <v>0</v>
      </c>
      <c r="O40" s="258"/>
    </row>
    <row r="41" spans="1:15" x14ac:dyDescent="0.35">
      <c r="A41" s="258"/>
      <c r="B41" s="302" t="s">
        <v>546</v>
      </c>
      <c r="C41" s="302"/>
      <c r="D41" s="302"/>
      <c r="E41" s="302"/>
      <c r="F41" s="302"/>
      <c r="G41" s="299" t="str">
        <f>IFERROR(H41/'LIHTC Rents'!$D$16, "")</f>
        <v/>
      </c>
      <c r="H41" s="26">
        <v>0</v>
      </c>
      <c r="I41" s="300">
        <f t="shared" si="5"/>
        <v>0</v>
      </c>
      <c r="J41" s="300">
        <f t="shared" si="5"/>
        <v>0</v>
      </c>
      <c r="K41" s="300">
        <f t="shared" si="5"/>
        <v>0</v>
      </c>
      <c r="L41" s="300">
        <f t="shared" si="5"/>
        <v>0</v>
      </c>
      <c r="M41" s="300">
        <f t="shared" si="5"/>
        <v>0</v>
      </c>
      <c r="N41" s="301">
        <f t="shared" si="5"/>
        <v>0</v>
      </c>
      <c r="O41" s="303"/>
    </row>
    <row r="42" spans="1:15" x14ac:dyDescent="0.35">
      <c r="A42" s="258"/>
      <c r="B42" s="302" t="s">
        <v>547</v>
      </c>
      <c r="C42" s="302"/>
      <c r="D42" s="302"/>
      <c r="E42" s="302"/>
      <c r="F42" s="302"/>
      <c r="G42" s="299" t="str">
        <f>IFERROR(H42/'LIHTC Rents'!$D$16, "")</f>
        <v/>
      </c>
      <c r="H42" s="26">
        <v>0</v>
      </c>
      <c r="I42" s="300">
        <f t="shared" si="5"/>
        <v>0</v>
      </c>
      <c r="J42" s="300">
        <f t="shared" si="5"/>
        <v>0</v>
      </c>
      <c r="K42" s="300">
        <f t="shared" si="5"/>
        <v>0</v>
      </c>
      <c r="L42" s="300">
        <f t="shared" si="5"/>
        <v>0</v>
      </c>
      <c r="M42" s="300">
        <f t="shared" si="5"/>
        <v>0</v>
      </c>
      <c r="N42" s="301">
        <f t="shared" si="5"/>
        <v>0</v>
      </c>
      <c r="O42" s="258"/>
    </row>
    <row r="43" spans="1:15" x14ac:dyDescent="0.35">
      <c r="A43" s="258"/>
      <c r="B43" s="302" t="s">
        <v>548</v>
      </c>
      <c r="C43" s="302"/>
      <c r="D43" s="302"/>
      <c r="E43" s="302"/>
      <c r="F43" s="302"/>
      <c r="G43" s="299" t="str">
        <f>IFERROR(H43/'LIHTC Rents'!$D$16, "")</f>
        <v/>
      </c>
      <c r="H43" s="26">
        <v>0</v>
      </c>
      <c r="I43" s="300">
        <f t="shared" si="5"/>
        <v>0</v>
      </c>
      <c r="J43" s="300">
        <f t="shared" si="5"/>
        <v>0</v>
      </c>
      <c r="K43" s="300">
        <f t="shared" si="5"/>
        <v>0</v>
      </c>
      <c r="L43" s="300">
        <f t="shared" si="5"/>
        <v>0</v>
      </c>
      <c r="M43" s="300">
        <f t="shared" si="5"/>
        <v>0</v>
      </c>
      <c r="N43" s="301">
        <f t="shared" si="5"/>
        <v>0</v>
      </c>
      <c r="O43" s="258"/>
    </row>
    <row r="44" spans="1:15" x14ac:dyDescent="0.35">
      <c r="A44" s="258"/>
      <c r="B44" s="281" t="s">
        <v>549</v>
      </c>
      <c r="C44" s="281"/>
      <c r="D44" s="281"/>
      <c r="E44" s="281"/>
      <c r="F44" s="281"/>
      <c r="G44" s="299" t="str">
        <f>IFERROR(H44/'LIHTC Rents'!$D$16, "")</f>
        <v/>
      </c>
      <c r="H44" s="27">
        <v>0</v>
      </c>
      <c r="I44" s="300">
        <f t="shared" ref="I44:N44" si="6">H44*(1+$E$24)</f>
        <v>0</v>
      </c>
      <c r="J44" s="304">
        <f t="shared" si="6"/>
        <v>0</v>
      </c>
      <c r="K44" s="304">
        <f t="shared" si="6"/>
        <v>0</v>
      </c>
      <c r="L44" s="304">
        <f t="shared" si="6"/>
        <v>0</v>
      </c>
      <c r="M44" s="304">
        <f t="shared" si="6"/>
        <v>0</v>
      </c>
      <c r="N44" s="305">
        <f t="shared" si="6"/>
        <v>0</v>
      </c>
      <c r="O44" s="258"/>
    </row>
    <row r="45" spans="1:15" x14ac:dyDescent="0.35">
      <c r="A45" s="258"/>
      <c r="B45" s="306" t="s">
        <v>550</v>
      </c>
      <c r="C45" s="280"/>
      <c r="D45" s="408"/>
      <c r="E45" s="407"/>
      <c r="F45" s="406"/>
      <c r="G45" s="425">
        <f>SUM(G24:G44)</f>
        <v>0</v>
      </c>
      <c r="H45" s="307">
        <f>SUM(H24:H44)</f>
        <v>0</v>
      </c>
      <c r="I45" s="308">
        <f t="shared" ref="I45:N45" si="7">SUM(I24:I44)</f>
        <v>0</v>
      </c>
      <c r="J45" s="308">
        <f t="shared" si="7"/>
        <v>0</v>
      </c>
      <c r="K45" s="308">
        <f>SUM(K24:K44)</f>
        <v>0</v>
      </c>
      <c r="L45" s="308">
        <f t="shared" si="7"/>
        <v>0</v>
      </c>
      <c r="M45" s="308">
        <f t="shared" si="7"/>
        <v>0</v>
      </c>
      <c r="N45" s="309">
        <f t="shared" si="7"/>
        <v>0</v>
      </c>
      <c r="O45" s="258"/>
    </row>
    <row r="46" spans="1:15" ht="7.9" customHeight="1" x14ac:dyDescent="0.35">
      <c r="A46" s="258"/>
      <c r="B46" s="306"/>
      <c r="C46" s="280"/>
      <c r="D46" s="258"/>
      <c r="E46" s="310"/>
      <c r="F46" s="258"/>
      <c r="G46" s="311"/>
      <c r="H46" s="312"/>
      <c r="I46" s="312"/>
      <c r="J46" s="312"/>
      <c r="K46" s="312"/>
      <c r="L46" s="312"/>
      <c r="M46" s="312"/>
      <c r="N46" s="313"/>
      <c r="O46" s="258"/>
    </row>
    <row r="47" spans="1:15" x14ac:dyDescent="0.35">
      <c r="A47" s="258"/>
      <c r="B47" s="424" t="s">
        <v>551</v>
      </c>
      <c r="C47" s="280"/>
      <c r="D47" s="258"/>
      <c r="E47" s="258"/>
      <c r="F47" s="258"/>
      <c r="G47" s="314" t="str">
        <f>IFERROR(H47/'LIHTC Rents'!$D$16, "")</f>
        <v/>
      </c>
      <c r="H47" s="467">
        <v>0</v>
      </c>
      <c r="I47" s="300">
        <f t="shared" ref="I47:I48" si="8">H47*(1+$E$24)</f>
        <v>0</v>
      </c>
      <c r="J47" s="300">
        <f t="shared" ref="J47:J48" si="9">I47*(1+$E$24)</f>
        <v>0</v>
      </c>
      <c r="K47" s="300">
        <f t="shared" ref="K47:K48" si="10">J47*(1+$E$24)</f>
        <v>0</v>
      </c>
      <c r="L47" s="300">
        <f t="shared" ref="L47:L48" si="11">K47*(1+$E$24)</f>
        <v>0</v>
      </c>
      <c r="M47" s="300">
        <f t="shared" ref="M47:M48" si="12">L47*(1+$E$24)</f>
        <v>0</v>
      </c>
      <c r="N47" s="301">
        <f t="shared" ref="N47:N48" si="13">M47*(1+$E$24)</f>
        <v>0</v>
      </c>
      <c r="O47" s="258"/>
    </row>
    <row r="48" spans="1:15" x14ac:dyDescent="0.35">
      <c r="A48" s="258"/>
      <c r="B48" s="462" t="s">
        <v>552</v>
      </c>
      <c r="C48" s="463"/>
      <c r="D48" s="423"/>
      <c r="E48" s="423"/>
      <c r="F48" s="422"/>
      <c r="G48" s="317" t="str">
        <f>IFERROR(H48/'LIHTC Rents'!$D$16, "")</f>
        <v/>
      </c>
      <c r="H48" s="468">
        <v>0</v>
      </c>
      <c r="I48" s="300">
        <f t="shared" si="8"/>
        <v>0</v>
      </c>
      <c r="J48" s="300">
        <f t="shared" si="9"/>
        <v>0</v>
      </c>
      <c r="K48" s="300">
        <f t="shared" si="10"/>
        <v>0</v>
      </c>
      <c r="L48" s="300">
        <f t="shared" si="11"/>
        <v>0</v>
      </c>
      <c r="M48" s="300">
        <f t="shared" si="12"/>
        <v>0</v>
      </c>
      <c r="N48" s="305">
        <f t="shared" si="13"/>
        <v>0</v>
      </c>
      <c r="O48" s="258"/>
    </row>
    <row r="49" spans="1:15" ht="15" thickBot="1" x14ac:dyDescent="0.4">
      <c r="A49" s="258"/>
      <c r="B49" s="306" t="s">
        <v>553</v>
      </c>
      <c r="C49" s="421"/>
      <c r="D49" s="280"/>
      <c r="E49" s="280"/>
      <c r="F49" s="258"/>
      <c r="G49" s="318">
        <f>SUM(G47:G48)</f>
        <v>0</v>
      </c>
      <c r="H49" s="319">
        <f>SUM(H47:H48)</f>
        <v>0</v>
      </c>
      <c r="I49" s="320">
        <f t="shared" ref="I49:N49" si="14">SUM(I47:I48)</f>
        <v>0</v>
      </c>
      <c r="J49" s="320">
        <f t="shared" si="14"/>
        <v>0</v>
      </c>
      <c r="K49" s="320">
        <f t="shared" si="14"/>
        <v>0</v>
      </c>
      <c r="L49" s="320">
        <f t="shared" si="14"/>
        <v>0</v>
      </c>
      <c r="M49" s="320">
        <f t="shared" si="14"/>
        <v>0</v>
      </c>
      <c r="N49" s="321">
        <f t="shared" si="14"/>
        <v>0</v>
      </c>
      <c r="O49" s="258"/>
    </row>
    <row r="50" spans="1:15" ht="15.5" thickTop="1" thickBot="1" x14ac:dyDescent="0.4">
      <c r="A50" s="258"/>
      <c r="B50" s="291" t="s">
        <v>554</v>
      </c>
      <c r="C50" s="280"/>
      <c r="D50" s="258"/>
      <c r="E50" s="280"/>
      <c r="F50" s="322" t="s">
        <v>15</v>
      </c>
      <c r="G50" s="323">
        <f>G49+G45</f>
        <v>0</v>
      </c>
      <c r="H50" s="324">
        <f>H45+H49</f>
        <v>0</v>
      </c>
      <c r="I50" s="325">
        <f t="shared" ref="I50:N50" si="15">I45+I49</f>
        <v>0</v>
      </c>
      <c r="J50" s="325">
        <f t="shared" si="15"/>
        <v>0</v>
      </c>
      <c r="K50" s="325">
        <f t="shared" si="15"/>
        <v>0</v>
      </c>
      <c r="L50" s="325">
        <f t="shared" si="15"/>
        <v>0</v>
      </c>
      <c r="M50" s="325">
        <f t="shared" si="15"/>
        <v>0</v>
      </c>
      <c r="N50" s="326">
        <f t="shared" si="15"/>
        <v>0</v>
      </c>
      <c r="O50" s="258"/>
    </row>
    <row r="51" spans="1:15" ht="7.9" customHeight="1" thickBot="1" x14ac:dyDescent="0.4">
      <c r="A51" s="258"/>
      <c r="B51" s="280"/>
      <c r="C51" s="280"/>
      <c r="D51" s="280"/>
      <c r="E51" s="280"/>
      <c r="F51" s="280"/>
      <c r="G51" s="327"/>
      <c r="H51" s="328"/>
      <c r="I51" s="328"/>
      <c r="J51" s="328"/>
      <c r="K51" s="328"/>
      <c r="L51" s="328"/>
      <c r="M51" s="328"/>
      <c r="N51" s="328"/>
      <c r="O51" s="258"/>
    </row>
    <row r="52" spans="1:15" ht="15" thickBot="1" x14ac:dyDescent="0.4">
      <c r="A52" s="258"/>
      <c r="B52" s="291" t="s">
        <v>555</v>
      </c>
      <c r="C52" s="280"/>
      <c r="D52" s="280"/>
      <c r="E52" s="280"/>
      <c r="F52" s="280"/>
      <c r="G52" s="329" t="s">
        <v>15</v>
      </c>
      <c r="H52" s="330">
        <f t="shared" ref="H52:N52" si="16">H20-H50</f>
        <v>0</v>
      </c>
      <c r="I52" s="331">
        <f t="shared" si="16"/>
        <v>0</v>
      </c>
      <c r="J52" s="331">
        <f t="shared" si="16"/>
        <v>0</v>
      </c>
      <c r="K52" s="331">
        <f t="shared" si="16"/>
        <v>0</v>
      </c>
      <c r="L52" s="331">
        <f t="shared" si="16"/>
        <v>0</v>
      </c>
      <c r="M52" s="331">
        <f t="shared" si="16"/>
        <v>0</v>
      </c>
      <c r="N52" s="332">
        <f t="shared" si="16"/>
        <v>0</v>
      </c>
      <c r="O52" s="258"/>
    </row>
    <row r="53" spans="1:15" x14ac:dyDescent="0.35">
      <c r="A53" s="258"/>
      <c r="B53" s="291"/>
      <c r="C53" s="280"/>
      <c r="D53" s="280"/>
      <c r="E53" s="280"/>
      <c r="F53" s="280"/>
      <c r="G53" s="283"/>
      <c r="H53" s="333"/>
      <c r="I53" s="333"/>
      <c r="J53" s="333"/>
      <c r="K53" s="333"/>
      <c r="L53" s="333"/>
      <c r="M53" s="333"/>
      <c r="N53" s="333"/>
      <c r="O53" s="258"/>
    </row>
    <row r="54" spans="1:15" ht="15" thickBot="1" x14ac:dyDescent="0.4">
      <c r="A54" s="257"/>
      <c r="B54" s="723" t="s">
        <v>556</v>
      </c>
      <c r="C54" s="723"/>
      <c r="D54" s="723"/>
      <c r="E54" s="334"/>
      <c r="F54" s="334"/>
      <c r="G54" s="334"/>
      <c r="H54" s="334"/>
      <c r="I54" s="334"/>
      <c r="J54" s="334"/>
      <c r="K54" s="334"/>
      <c r="L54" s="334"/>
      <c r="M54" s="334"/>
      <c r="N54" s="334"/>
      <c r="O54" s="257"/>
    </row>
    <row r="55" spans="1:15" ht="15" thickBot="1" x14ac:dyDescent="0.4">
      <c r="A55" s="257"/>
      <c r="B55" s="335" t="s">
        <v>557</v>
      </c>
      <c r="C55" s="257"/>
      <c r="D55" s="257"/>
      <c r="E55" s="265"/>
      <c r="F55" s="758" t="s">
        <v>558</v>
      </c>
      <c r="G55" s="759"/>
      <c r="H55" s="266" t="s">
        <v>510</v>
      </c>
      <c r="I55" s="267" t="s">
        <v>511</v>
      </c>
      <c r="J55" s="267" t="s">
        <v>512</v>
      </c>
      <c r="K55" s="267" t="s">
        <v>513</v>
      </c>
      <c r="L55" s="267" t="s">
        <v>514</v>
      </c>
      <c r="M55" s="267" t="s">
        <v>515</v>
      </c>
      <c r="N55" s="268" t="s">
        <v>516</v>
      </c>
      <c r="O55" s="257"/>
    </row>
    <row r="56" spans="1:15" x14ac:dyDescent="0.35">
      <c r="A56" s="257"/>
      <c r="B56" s="487" t="s">
        <v>559</v>
      </c>
      <c r="C56" s="488"/>
      <c r="D56" s="488"/>
      <c r="E56" s="469"/>
      <c r="F56" s="750">
        <v>0</v>
      </c>
      <c r="G56" s="751"/>
      <c r="H56" s="28">
        <v>0</v>
      </c>
      <c r="I56" s="29">
        <v>0</v>
      </c>
      <c r="J56" s="29">
        <v>0</v>
      </c>
      <c r="K56" s="29">
        <v>0</v>
      </c>
      <c r="L56" s="29">
        <v>0</v>
      </c>
      <c r="M56" s="29">
        <v>0</v>
      </c>
      <c r="N56" s="30">
        <v>0</v>
      </c>
      <c r="O56" s="257"/>
    </row>
    <row r="57" spans="1:15" x14ac:dyDescent="0.35">
      <c r="A57" s="257"/>
      <c r="B57" s="489" t="s">
        <v>560</v>
      </c>
      <c r="C57" s="490"/>
      <c r="D57" s="490"/>
      <c r="E57" s="470"/>
      <c r="F57" s="741">
        <v>0</v>
      </c>
      <c r="G57" s="742"/>
      <c r="H57" s="25">
        <v>0</v>
      </c>
      <c r="I57" s="31">
        <v>0</v>
      </c>
      <c r="J57" s="31">
        <v>0</v>
      </c>
      <c r="K57" s="31">
        <v>0</v>
      </c>
      <c r="L57" s="31">
        <v>0</v>
      </c>
      <c r="M57" s="31">
        <v>0</v>
      </c>
      <c r="N57" s="32">
        <v>0</v>
      </c>
      <c r="O57" s="257"/>
    </row>
    <row r="58" spans="1:15" ht="15" thickBot="1" x14ac:dyDescent="0.4">
      <c r="A58" s="257"/>
      <c r="B58" s="491" t="s">
        <v>561</v>
      </c>
      <c r="C58" s="492"/>
      <c r="D58" s="492"/>
      <c r="E58" s="471"/>
      <c r="F58" s="748">
        <v>0</v>
      </c>
      <c r="G58" s="749"/>
      <c r="H58" s="33">
        <v>0</v>
      </c>
      <c r="I58" s="34">
        <v>0</v>
      </c>
      <c r="J58" s="34">
        <v>0</v>
      </c>
      <c r="K58" s="34">
        <v>0</v>
      </c>
      <c r="L58" s="34">
        <v>0</v>
      </c>
      <c r="M58" s="34">
        <v>0</v>
      </c>
      <c r="N58" s="35">
        <v>0</v>
      </c>
      <c r="O58" s="257"/>
    </row>
    <row r="59" spans="1:15" ht="15.5" thickTop="1" thickBot="1" x14ac:dyDescent="0.4">
      <c r="A59" s="257"/>
      <c r="B59" s="257"/>
      <c r="C59" s="257"/>
      <c r="D59" s="257"/>
      <c r="E59" s="724" t="s">
        <v>562</v>
      </c>
      <c r="F59" s="743"/>
      <c r="G59" s="744"/>
      <c r="H59" s="337">
        <f t="shared" ref="H59:N59" si="17">SUM(H56:H58)</f>
        <v>0</v>
      </c>
      <c r="I59" s="338">
        <f t="shared" si="17"/>
        <v>0</v>
      </c>
      <c r="J59" s="338">
        <f t="shared" si="17"/>
        <v>0</v>
      </c>
      <c r="K59" s="338">
        <f t="shared" si="17"/>
        <v>0</v>
      </c>
      <c r="L59" s="338">
        <f t="shared" si="17"/>
        <v>0</v>
      </c>
      <c r="M59" s="338">
        <f t="shared" si="17"/>
        <v>0</v>
      </c>
      <c r="N59" s="339">
        <f t="shared" si="17"/>
        <v>0</v>
      </c>
      <c r="O59" s="257"/>
    </row>
    <row r="60" spans="1:15" x14ac:dyDescent="0.35">
      <c r="A60" s="257"/>
      <c r="B60" s="257"/>
      <c r="C60" s="257"/>
      <c r="D60" s="257"/>
      <c r="E60" s="724" t="s">
        <v>563</v>
      </c>
      <c r="F60" s="724"/>
      <c r="G60" s="725"/>
      <c r="H60" s="340">
        <f t="shared" ref="H60:N60" si="18">H52-H59</f>
        <v>0</v>
      </c>
      <c r="I60" s="341">
        <f t="shared" si="18"/>
        <v>0</v>
      </c>
      <c r="J60" s="341">
        <f t="shared" si="18"/>
        <v>0</v>
      </c>
      <c r="K60" s="341">
        <f t="shared" si="18"/>
        <v>0</v>
      </c>
      <c r="L60" s="341">
        <f t="shared" si="18"/>
        <v>0</v>
      </c>
      <c r="M60" s="341">
        <f t="shared" si="18"/>
        <v>0</v>
      </c>
      <c r="N60" s="342">
        <f t="shared" si="18"/>
        <v>0</v>
      </c>
      <c r="O60" s="257"/>
    </row>
    <row r="61" spans="1:15" ht="15" thickBot="1" x14ac:dyDescent="0.4">
      <c r="A61" s="257"/>
      <c r="B61" s="257"/>
      <c r="C61" s="257"/>
      <c r="D61" s="257"/>
      <c r="E61" s="724" t="s">
        <v>564</v>
      </c>
      <c r="F61" s="724"/>
      <c r="G61" s="725"/>
      <c r="H61" s="411">
        <f>IFERROR(H52/H59,0)</f>
        <v>0</v>
      </c>
      <c r="I61" s="409">
        <f t="shared" ref="I61:N61" si="19">IFERROR(I52/I59,0)</f>
        <v>0</v>
      </c>
      <c r="J61" s="412">
        <f t="shared" si="19"/>
        <v>0</v>
      </c>
      <c r="K61" s="412">
        <f t="shared" si="19"/>
        <v>0</v>
      </c>
      <c r="L61" s="412">
        <f t="shared" si="19"/>
        <v>0</v>
      </c>
      <c r="M61" s="412">
        <f t="shared" si="19"/>
        <v>0</v>
      </c>
      <c r="N61" s="413">
        <f t="shared" si="19"/>
        <v>0</v>
      </c>
      <c r="O61" s="410"/>
    </row>
    <row r="62" spans="1:15" ht="7.9" customHeight="1" x14ac:dyDescent="0.35">
      <c r="A62" s="257"/>
      <c r="B62" s="257"/>
      <c r="C62" s="257"/>
      <c r="D62" s="257"/>
      <c r="E62" s="336"/>
      <c r="F62" s="336"/>
      <c r="G62" s="336"/>
      <c r="H62" s="343"/>
      <c r="I62" s="343"/>
      <c r="J62" s="343"/>
      <c r="K62" s="343"/>
      <c r="L62" s="343"/>
      <c r="M62" s="343"/>
      <c r="N62" s="343"/>
      <c r="O62" s="257"/>
    </row>
    <row r="63" spans="1:15" ht="7.9" customHeight="1" thickBot="1" x14ac:dyDescent="0.4">
      <c r="A63" s="257"/>
      <c r="B63" s="257"/>
      <c r="C63" s="257"/>
      <c r="D63" s="257"/>
      <c r="E63" s="336"/>
      <c r="F63" s="336"/>
      <c r="G63" s="336"/>
      <c r="H63" s="343"/>
      <c r="I63" s="343"/>
      <c r="J63" s="343"/>
      <c r="K63" s="343"/>
      <c r="L63" s="343"/>
      <c r="M63" s="343"/>
      <c r="N63" s="343"/>
      <c r="O63" s="257"/>
    </row>
    <row r="64" spans="1:15" ht="15" thickBot="1" x14ac:dyDescent="0.4">
      <c r="A64" s="257"/>
      <c r="B64" s="335" t="s">
        <v>565</v>
      </c>
      <c r="C64" s="344"/>
      <c r="D64" s="344"/>
      <c r="E64" s="345"/>
      <c r="F64" s="729" t="s">
        <v>558</v>
      </c>
      <c r="G64" s="730"/>
      <c r="H64" s="346" t="s">
        <v>510</v>
      </c>
      <c r="I64" s="347" t="s">
        <v>511</v>
      </c>
      <c r="J64" s="347" t="s">
        <v>512</v>
      </c>
      <c r="K64" s="347" t="s">
        <v>513</v>
      </c>
      <c r="L64" s="347" t="s">
        <v>514</v>
      </c>
      <c r="M64" s="347" t="s">
        <v>515</v>
      </c>
      <c r="N64" s="348" t="s">
        <v>516</v>
      </c>
      <c r="O64" s="257"/>
    </row>
    <row r="65" spans="1:15" x14ac:dyDescent="0.35">
      <c r="A65" s="257"/>
      <c r="B65" s="474" t="s">
        <v>566</v>
      </c>
      <c r="C65" s="475"/>
      <c r="D65" s="475"/>
      <c r="E65" s="476"/>
      <c r="F65" s="731">
        <v>0</v>
      </c>
      <c r="G65" s="732"/>
      <c r="H65" s="38">
        <v>0</v>
      </c>
      <c r="I65" s="39">
        <v>0</v>
      </c>
      <c r="J65" s="39">
        <v>0</v>
      </c>
      <c r="K65" s="39">
        <v>0</v>
      </c>
      <c r="L65" s="39">
        <v>0</v>
      </c>
      <c r="M65" s="39">
        <v>0</v>
      </c>
      <c r="N65" s="40">
        <v>0</v>
      </c>
      <c r="O65" s="257"/>
    </row>
    <row r="66" spans="1:15" x14ac:dyDescent="0.35">
      <c r="A66" s="257"/>
      <c r="B66" s="477" t="s">
        <v>567</v>
      </c>
      <c r="C66" s="478"/>
      <c r="D66" s="478"/>
      <c r="E66" s="479"/>
      <c r="F66" s="733">
        <v>0</v>
      </c>
      <c r="G66" s="734"/>
      <c r="H66" s="41">
        <v>0</v>
      </c>
      <c r="I66" s="42">
        <v>0</v>
      </c>
      <c r="J66" s="42">
        <v>0</v>
      </c>
      <c r="K66" s="42">
        <v>0</v>
      </c>
      <c r="L66" s="42">
        <v>0</v>
      </c>
      <c r="M66" s="42">
        <v>0</v>
      </c>
      <c r="N66" s="43">
        <v>0</v>
      </c>
      <c r="O66" s="257"/>
    </row>
    <row r="67" spans="1:15" x14ac:dyDescent="0.35">
      <c r="A67" s="257"/>
      <c r="B67" s="480" t="s">
        <v>568</v>
      </c>
      <c r="C67" s="481"/>
      <c r="D67" s="481"/>
      <c r="E67" s="482"/>
      <c r="F67" s="733">
        <v>0</v>
      </c>
      <c r="G67" s="734"/>
      <c r="H67" s="44">
        <v>0</v>
      </c>
      <c r="I67" s="45">
        <v>0</v>
      </c>
      <c r="J67" s="45">
        <v>0</v>
      </c>
      <c r="K67" s="45">
        <v>0</v>
      </c>
      <c r="L67" s="45">
        <v>0</v>
      </c>
      <c r="M67" s="45">
        <v>0</v>
      </c>
      <c r="N67" s="46">
        <v>0</v>
      </c>
      <c r="O67" s="257"/>
    </row>
    <row r="68" spans="1:15" x14ac:dyDescent="0.35">
      <c r="A68" s="257"/>
      <c r="B68" s="483" t="s">
        <v>569</v>
      </c>
      <c r="C68" s="484"/>
      <c r="D68" s="484"/>
      <c r="E68" s="485"/>
      <c r="F68" s="733">
        <v>0</v>
      </c>
      <c r="G68" s="734"/>
      <c r="H68" s="44">
        <v>0</v>
      </c>
      <c r="I68" s="45">
        <v>0</v>
      </c>
      <c r="J68" s="45">
        <v>0</v>
      </c>
      <c r="K68" s="45">
        <v>0</v>
      </c>
      <c r="L68" s="45">
        <v>0</v>
      </c>
      <c r="M68" s="45">
        <v>0</v>
      </c>
      <c r="N68" s="46">
        <v>0</v>
      </c>
      <c r="O68" s="257"/>
    </row>
    <row r="69" spans="1:15" x14ac:dyDescent="0.35">
      <c r="A69" s="257"/>
      <c r="B69" s="477" t="s">
        <v>570</v>
      </c>
      <c r="C69" s="478"/>
      <c r="D69" s="478"/>
      <c r="E69" s="479"/>
      <c r="F69" s="733">
        <v>0</v>
      </c>
      <c r="G69" s="734"/>
      <c r="H69" s="44">
        <v>0</v>
      </c>
      <c r="I69" s="45">
        <v>0</v>
      </c>
      <c r="J69" s="45">
        <v>0</v>
      </c>
      <c r="K69" s="45">
        <v>0</v>
      </c>
      <c r="L69" s="45">
        <v>0</v>
      </c>
      <c r="M69" s="45">
        <v>0</v>
      </c>
      <c r="N69" s="46">
        <v>0</v>
      </c>
      <c r="O69" s="257"/>
    </row>
    <row r="70" spans="1:15" ht="15" thickBot="1" x14ac:dyDescent="0.4">
      <c r="A70" s="257"/>
      <c r="B70" s="472" t="s">
        <v>571</v>
      </c>
      <c r="C70" s="473"/>
      <c r="D70" s="473"/>
      <c r="E70" s="486"/>
      <c r="F70" s="735">
        <v>0</v>
      </c>
      <c r="G70" s="736"/>
      <c r="H70" s="47">
        <v>0</v>
      </c>
      <c r="I70" s="48">
        <v>0</v>
      </c>
      <c r="J70" s="48">
        <v>0</v>
      </c>
      <c r="K70" s="48">
        <v>0</v>
      </c>
      <c r="L70" s="48">
        <v>0</v>
      </c>
      <c r="M70" s="48">
        <v>0</v>
      </c>
      <c r="N70" s="49">
        <v>0</v>
      </c>
      <c r="O70" s="257"/>
    </row>
    <row r="71" spans="1:15" ht="15" thickTop="1" x14ac:dyDescent="0.35">
      <c r="A71" s="257"/>
      <c r="B71" s="344"/>
      <c r="C71" s="344"/>
      <c r="D71" s="344"/>
      <c r="E71" s="737" t="s">
        <v>572</v>
      </c>
      <c r="F71" s="738"/>
      <c r="G71" s="739"/>
      <c r="H71" s="350">
        <f>SUM(H65:H70)</f>
        <v>0</v>
      </c>
      <c r="I71" s="351">
        <f t="shared" ref="I71:N71" si="20">SUM(I65:I70)</f>
        <v>0</v>
      </c>
      <c r="J71" s="351">
        <f t="shared" si="20"/>
        <v>0</v>
      </c>
      <c r="K71" s="351">
        <f t="shared" si="20"/>
        <v>0</v>
      </c>
      <c r="L71" s="351">
        <f t="shared" si="20"/>
        <v>0</v>
      </c>
      <c r="M71" s="351">
        <f t="shared" si="20"/>
        <v>0</v>
      </c>
      <c r="N71" s="352">
        <f t="shared" si="20"/>
        <v>0</v>
      </c>
      <c r="O71" s="257"/>
    </row>
    <row r="72" spans="1:15" ht="7.9" customHeight="1" thickBot="1" x14ac:dyDescent="0.4">
      <c r="A72" s="257"/>
      <c r="B72" s="344"/>
      <c r="C72" s="344"/>
      <c r="D72" s="344"/>
      <c r="E72" s="349"/>
      <c r="F72" s="349"/>
      <c r="G72" s="349"/>
      <c r="H72" s="353"/>
      <c r="I72" s="354"/>
      <c r="J72" s="355"/>
      <c r="K72" s="355"/>
      <c r="L72" s="355"/>
      <c r="M72" s="356"/>
      <c r="N72" s="353"/>
      <c r="O72" s="257"/>
    </row>
    <row r="73" spans="1:15" x14ac:dyDescent="0.35">
      <c r="A73" s="257"/>
      <c r="B73" s="344"/>
      <c r="C73" s="344"/>
      <c r="D73" s="344"/>
      <c r="E73" s="737" t="s">
        <v>573</v>
      </c>
      <c r="F73" s="737"/>
      <c r="G73" s="737"/>
      <c r="H73" s="438">
        <f>IFERROR(H52/(H59+H71), 0)</f>
        <v>0</v>
      </c>
      <c r="I73" s="439">
        <f t="shared" ref="I73:N73" si="21">IFERROR(I52/(I59+I71), 0)</f>
        <v>0</v>
      </c>
      <c r="J73" s="439">
        <f t="shared" si="21"/>
        <v>0</v>
      </c>
      <c r="K73" s="439">
        <f t="shared" si="21"/>
        <v>0</v>
      </c>
      <c r="L73" s="439">
        <f t="shared" si="21"/>
        <v>0</v>
      </c>
      <c r="M73" s="439">
        <f t="shared" si="21"/>
        <v>0</v>
      </c>
      <c r="N73" s="440">
        <f t="shared" si="21"/>
        <v>0</v>
      </c>
      <c r="O73" s="257"/>
    </row>
    <row r="74" spans="1:15" ht="15" thickBot="1" x14ac:dyDescent="0.4">
      <c r="A74" s="257"/>
      <c r="B74" s="344"/>
      <c r="C74" s="344"/>
      <c r="D74" s="344"/>
      <c r="E74" s="349"/>
      <c r="F74" s="349" t="s">
        <v>574</v>
      </c>
      <c r="G74" s="349"/>
      <c r="H74" s="436">
        <f>H60-H71</f>
        <v>0</v>
      </c>
      <c r="I74" s="437">
        <f t="shared" ref="I74:N74" si="22">I60-I71</f>
        <v>0</v>
      </c>
      <c r="J74" s="437">
        <f t="shared" si="22"/>
        <v>0</v>
      </c>
      <c r="K74" s="437">
        <f t="shared" si="22"/>
        <v>0</v>
      </c>
      <c r="L74" s="437">
        <f t="shared" si="22"/>
        <v>0</v>
      </c>
      <c r="M74" s="437">
        <f t="shared" si="22"/>
        <v>0</v>
      </c>
      <c r="N74" s="357">
        <f t="shared" si="22"/>
        <v>0</v>
      </c>
      <c r="O74" s="257"/>
    </row>
    <row r="75" spans="1:15" ht="15" thickBot="1" x14ac:dyDescent="0.4">
      <c r="A75" s="257"/>
      <c r="B75" s="358"/>
      <c r="C75" s="359"/>
      <c r="D75" s="358"/>
      <c r="E75" s="358"/>
      <c r="F75" s="358"/>
      <c r="G75" s="358"/>
      <c r="H75" s="360"/>
      <c r="I75" s="358"/>
      <c r="J75" s="358"/>
      <c r="K75" s="358"/>
      <c r="L75" s="358"/>
      <c r="M75" s="361"/>
      <c r="N75" s="362"/>
      <c r="O75" s="358"/>
    </row>
    <row r="76" spans="1:15" x14ac:dyDescent="0.35">
      <c r="A76" s="257"/>
      <c r="B76" s="363"/>
      <c r="C76" s="363"/>
      <c r="D76" s="363"/>
      <c r="E76" s="363"/>
      <c r="F76" s="363"/>
      <c r="G76" s="363"/>
      <c r="H76" s="363"/>
      <c r="I76" s="363"/>
      <c r="J76" s="363"/>
      <c r="K76" s="363"/>
      <c r="L76" s="363"/>
      <c r="M76" s="363"/>
      <c r="N76" s="363"/>
      <c r="O76" s="363"/>
    </row>
    <row r="77" spans="1:15" ht="15" thickBot="1" x14ac:dyDescent="0.4">
      <c r="A77" s="258"/>
      <c r="B77" s="261" t="s">
        <v>509</v>
      </c>
      <c r="C77" s="262"/>
      <c r="D77" s="263"/>
      <c r="E77" s="263"/>
      <c r="F77" s="263"/>
      <c r="G77" s="263"/>
      <c r="H77" s="262"/>
      <c r="I77" s="262"/>
      <c r="J77" s="262"/>
      <c r="K77" s="262"/>
      <c r="L77" s="262"/>
      <c r="M77" s="264"/>
      <c r="N77" s="262"/>
      <c r="O77" s="259"/>
    </row>
    <row r="78" spans="1:15" ht="15" thickBot="1" x14ac:dyDescent="0.4">
      <c r="A78" s="257"/>
      <c r="B78" s="265"/>
      <c r="C78" s="258"/>
      <c r="D78" s="257"/>
      <c r="E78" s="257"/>
      <c r="F78" s="257"/>
      <c r="G78" s="266" t="s">
        <v>575</v>
      </c>
      <c r="H78" s="267" t="s">
        <v>576</v>
      </c>
      <c r="I78" s="267" t="s">
        <v>577</v>
      </c>
      <c r="J78" s="267" t="s">
        <v>578</v>
      </c>
      <c r="K78" s="267" t="s">
        <v>579</v>
      </c>
      <c r="L78" s="267" t="s">
        <v>580</v>
      </c>
      <c r="M78" s="268" t="s">
        <v>581</v>
      </c>
      <c r="N78" s="268" t="s">
        <v>582</v>
      </c>
      <c r="O78" s="257"/>
    </row>
    <row r="79" spans="1:15" x14ac:dyDescent="0.35">
      <c r="A79" s="257"/>
      <c r="B79" s="269" t="s">
        <v>517</v>
      </c>
      <c r="C79" s="257"/>
      <c r="D79" s="257"/>
      <c r="F79" s="257"/>
      <c r="G79" s="364"/>
      <c r="H79" s="272"/>
      <c r="I79" s="272"/>
      <c r="J79" s="272"/>
      <c r="K79" s="272"/>
      <c r="L79" s="272"/>
      <c r="M79" s="272"/>
      <c r="N79" s="273"/>
      <c r="O79" s="257"/>
    </row>
    <row r="80" spans="1:15" x14ac:dyDescent="0.35">
      <c r="A80" s="257"/>
      <c r="B80" s="274" t="s">
        <v>519</v>
      </c>
      <c r="C80" s="257"/>
      <c r="D80" s="257"/>
      <c r="E80" s="257"/>
      <c r="F80" s="257"/>
      <c r="G80" s="442">
        <f>N14*(1+$F$14)</f>
        <v>0</v>
      </c>
      <c r="H80" s="365">
        <f t="shared" ref="H80:N82" si="23">G80*(1+$F$14)</f>
        <v>0</v>
      </c>
      <c r="I80" s="455">
        <f t="shared" si="23"/>
        <v>0</v>
      </c>
      <c r="J80" s="457">
        <f t="shared" si="23"/>
        <v>0</v>
      </c>
      <c r="K80" s="457">
        <f t="shared" si="23"/>
        <v>0</v>
      </c>
      <c r="L80" s="457">
        <f t="shared" si="23"/>
        <v>0</v>
      </c>
      <c r="M80" s="457">
        <f t="shared" si="23"/>
        <v>0</v>
      </c>
      <c r="N80" s="366">
        <f t="shared" si="23"/>
        <v>0</v>
      </c>
      <c r="O80" s="257"/>
    </row>
    <row r="81" spans="1:15" x14ac:dyDescent="0.35">
      <c r="A81" s="257"/>
      <c r="B81" s="274" t="s">
        <v>520</v>
      </c>
      <c r="C81" s="745" t="str">
        <f>C15</f>
        <v>Name of First "Other" Source</v>
      </c>
      <c r="D81" s="745"/>
      <c r="E81" s="745"/>
      <c r="F81" s="280"/>
      <c r="G81" s="442">
        <f t="shared" ref="G81" si="24">N15*(1+$F$14)</f>
        <v>0</v>
      </c>
      <c r="H81" s="365">
        <f t="shared" si="23"/>
        <v>0</v>
      </c>
      <c r="I81" s="455">
        <f t="shared" si="23"/>
        <v>0</v>
      </c>
      <c r="J81" s="457">
        <f t="shared" si="23"/>
        <v>0</v>
      </c>
      <c r="K81" s="457">
        <f t="shared" si="23"/>
        <v>0</v>
      </c>
      <c r="L81" s="457">
        <f t="shared" si="23"/>
        <v>0</v>
      </c>
      <c r="M81" s="457">
        <f t="shared" si="23"/>
        <v>0</v>
      </c>
      <c r="N81" s="366">
        <f t="shared" si="23"/>
        <v>0</v>
      </c>
      <c r="O81" s="257"/>
    </row>
    <row r="82" spans="1:15" x14ac:dyDescent="0.35">
      <c r="A82" s="257"/>
      <c r="B82" s="281" t="s">
        <v>520</v>
      </c>
      <c r="C82" s="740" t="str">
        <f>C16</f>
        <v>Name of Second "Other" Source</v>
      </c>
      <c r="D82" s="740"/>
      <c r="E82" s="740"/>
      <c r="F82" s="279"/>
      <c r="G82" s="443">
        <f>N16*(1+$F$14)</f>
        <v>0</v>
      </c>
      <c r="H82" s="414">
        <f t="shared" si="23"/>
        <v>0</v>
      </c>
      <c r="I82" s="456">
        <f t="shared" si="23"/>
        <v>0</v>
      </c>
      <c r="J82" s="458">
        <f t="shared" si="23"/>
        <v>0</v>
      </c>
      <c r="K82" s="458">
        <f t="shared" si="23"/>
        <v>0</v>
      </c>
      <c r="L82" s="458">
        <f t="shared" si="23"/>
        <v>0</v>
      </c>
      <c r="M82" s="458">
        <f t="shared" si="23"/>
        <v>0</v>
      </c>
      <c r="N82" s="366">
        <f t="shared" si="23"/>
        <v>0</v>
      </c>
      <c r="O82" s="257"/>
    </row>
    <row r="83" spans="1:15" x14ac:dyDescent="0.35">
      <c r="A83" s="257"/>
      <c r="B83" s="280" t="s">
        <v>523</v>
      </c>
      <c r="C83" s="265"/>
      <c r="D83" s="257"/>
      <c r="E83" s="257"/>
      <c r="F83" s="367" t="s">
        <v>15</v>
      </c>
      <c r="G83" s="415">
        <f>SUM(G80:G82)</f>
        <v>0</v>
      </c>
      <c r="H83" s="449">
        <f t="shared" ref="H83:N83" si="25">SUM(H80:H82)</f>
        <v>0</v>
      </c>
      <c r="I83" s="450">
        <f t="shared" si="25"/>
        <v>0</v>
      </c>
      <c r="J83" s="451">
        <f t="shared" si="25"/>
        <v>0</v>
      </c>
      <c r="K83" s="451">
        <f t="shared" si="25"/>
        <v>0</v>
      </c>
      <c r="L83" s="452">
        <f t="shared" si="25"/>
        <v>0</v>
      </c>
      <c r="M83" s="453">
        <f t="shared" si="25"/>
        <v>0</v>
      </c>
      <c r="N83" s="454">
        <f t="shared" si="25"/>
        <v>0</v>
      </c>
      <c r="O83" s="257"/>
    </row>
    <row r="84" spans="1:15" x14ac:dyDescent="0.35">
      <c r="A84" s="257"/>
      <c r="B84" s="269"/>
      <c r="C84" s="257"/>
      <c r="D84" s="257"/>
      <c r="E84" s="257"/>
      <c r="F84" s="368"/>
      <c r="G84" s="441"/>
      <c r="H84" s="746"/>
      <c r="I84" s="746"/>
      <c r="J84" s="746"/>
      <c r="K84" s="746"/>
      <c r="L84" s="746"/>
      <c r="M84" s="746"/>
      <c r="N84" s="747"/>
      <c r="O84" s="257"/>
    </row>
    <row r="85" spans="1:15" ht="15" thickBot="1" x14ac:dyDescent="0.4">
      <c r="A85" s="257"/>
      <c r="B85" s="286" t="s">
        <v>524</v>
      </c>
      <c r="C85" s="287"/>
      <c r="D85" s="287"/>
      <c r="E85" s="287"/>
      <c r="F85" s="369"/>
      <c r="G85" s="444">
        <f>G83*-($F$19)</f>
        <v>0</v>
      </c>
      <c r="H85" s="445">
        <f>H83*-($F$19)</f>
        <v>0</v>
      </c>
      <c r="I85" s="446">
        <f t="shared" ref="I85:N85" si="26">I83*-($F$19)</f>
        <v>0</v>
      </c>
      <c r="J85" s="446">
        <f t="shared" si="26"/>
        <v>0</v>
      </c>
      <c r="K85" s="446">
        <f t="shared" si="26"/>
        <v>0</v>
      </c>
      <c r="L85" s="446">
        <f t="shared" si="26"/>
        <v>0</v>
      </c>
      <c r="M85" s="446">
        <f t="shared" si="26"/>
        <v>0</v>
      </c>
      <c r="N85" s="447">
        <f t="shared" si="26"/>
        <v>0</v>
      </c>
      <c r="O85" s="257"/>
    </row>
    <row r="86" spans="1:15" ht="15.5" thickTop="1" thickBot="1" x14ac:dyDescent="0.4">
      <c r="A86" s="257"/>
      <c r="B86" s="291" t="s">
        <v>525</v>
      </c>
      <c r="C86" s="257"/>
      <c r="D86" s="257"/>
      <c r="E86" s="257"/>
      <c r="F86" s="367" t="s">
        <v>15</v>
      </c>
      <c r="G86" s="448">
        <f t="shared" ref="G86:N86" si="27">SUM(G83+G85)</f>
        <v>0</v>
      </c>
      <c r="H86" s="370">
        <f t="shared" si="27"/>
        <v>0</v>
      </c>
      <c r="I86" s="293">
        <f t="shared" si="27"/>
        <v>0</v>
      </c>
      <c r="J86" s="293">
        <f t="shared" si="27"/>
        <v>0</v>
      </c>
      <c r="K86" s="293">
        <f t="shared" si="27"/>
        <v>0</v>
      </c>
      <c r="L86" s="293">
        <f t="shared" si="27"/>
        <v>0</v>
      </c>
      <c r="M86" s="293">
        <f t="shared" si="27"/>
        <v>0</v>
      </c>
      <c r="N86" s="294">
        <f t="shared" si="27"/>
        <v>0</v>
      </c>
      <c r="O86" s="257"/>
    </row>
    <row r="87" spans="1:15" x14ac:dyDescent="0.35">
      <c r="A87" s="257"/>
      <c r="B87" s="257"/>
      <c r="C87" s="257"/>
      <c r="D87" s="257"/>
      <c r="E87" s="257"/>
      <c r="F87" s="257"/>
      <c r="G87" s="257"/>
      <c r="H87" s="257"/>
      <c r="I87" s="257"/>
      <c r="J87" s="257"/>
      <c r="K87" s="257"/>
      <c r="L87" s="257"/>
      <c r="M87" s="257"/>
      <c r="N87" s="257"/>
      <c r="O87" s="257"/>
    </row>
    <row r="88" spans="1:15" ht="15" thickBot="1" x14ac:dyDescent="0.4">
      <c r="A88" s="258"/>
      <c r="B88" s="261" t="s">
        <v>526</v>
      </c>
      <c r="C88" s="262"/>
      <c r="D88" s="262"/>
      <c r="E88" s="262"/>
      <c r="F88" s="262"/>
      <c r="G88" s="262"/>
      <c r="H88" s="262"/>
      <c r="I88" s="262"/>
      <c r="J88" s="262"/>
      <c r="K88" s="264"/>
      <c r="L88" s="262"/>
      <c r="M88" s="262"/>
      <c r="N88" s="262"/>
      <c r="O88" s="259"/>
    </row>
    <row r="89" spans="1:15" ht="15" thickBot="1" x14ac:dyDescent="0.4">
      <c r="A89" s="258"/>
      <c r="B89" s="269" t="s">
        <v>583</v>
      </c>
      <c r="C89" s="258"/>
      <c r="D89" s="280"/>
      <c r="E89" s="280"/>
      <c r="F89" s="258"/>
      <c r="G89" s="266" t="s">
        <v>575</v>
      </c>
      <c r="H89" s="267" t="s">
        <v>576</v>
      </c>
      <c r="I89" s="267" t="s">
        <v>577</v>
      </c>
      <c r="J89" s="267" t="s">
        <v>578</v>
      </c>
      <c r="K89" s="267" t="s">
        <v>579</v>
      </c>
      <c r="L89" s="267" t="s">
        <v>580</v>
      </c>
      <c r="M89" s="268" t="s">
        <v>581</v>
      </c>
      <c r="N89" s="268" t="s">
        <v>582</v>
      </c>
      <c r="O89" s="258"/>
    </row>
    <row r="90" spans="1:15" x14ac:dyDescent="0.35">
      <c r="A90" s="258"/>
      <c r="B90" s="297" t="s">
        <v>529</v>
      </c>
      <c r="C90" s="297"/>
      <c r="D90" s="297"/>
      <c r="E90" s="297"/>
      <c r="F90" s="297"/>
      <c r="G90" s="371">
        <f t="shared" ref="G90:G110" si="28">N24*(1+$E$24)</f>
        <v>0</v>
      </c>
      <c r="H90" s="372">
        <f>G90*(1+$E$24)</f>
        <v>0</v>
      </c>
      <c r="I90" s="372">
        <f t="shared" ref="I90:N90" si="29">H90*(1+$E$24)</f>
        <v>0</v>
      </c>
      <c r="J90" s="372">
        <f t="shared" si="29"/>
        <v>0</v>
      </c>
      <c r="K90" s="372">
        <f t="shared" si="29"/>
        <v>0</v>
      </c>
      <c r="L90" s="372">
        <f t="shared" si="29"/>
        <v>0</v>
      </c>
      <c r="M90" s="372">
        <f t="shared" si="29"/>
        <v>0</v>
      </c>
      <c r="N90" s="373">
        <f t="shared" si="29"/>
        <v>0</v>
      </c>
      <c r="O90" s="258"/>
    </row>
    <row r="91" spans="1:15" x14ac:dyDescent="0.35">
      <c r="A91" s="258"/>
      <c r="B91" s="302" t="s">
        <v>530</v>
      </c>
      <c r="C91" s="302"/>
      <c r="D91" s="302"/>
      <c r="E91" s="302"/>
      <c r="F91" s="302"/>
      <c r="G91" s="374">
        <f t="shared" si="28"/>
        <v>0</v>
      </c>
      <c r="H91" s="372">
        <f t="shared" ref="H91:N110" si="30">G91*(1+$E$24)</f>
        <v>0</v>
      </c>
      <c r="I91" s="372">
        <f t="shared" si="30"/>
        <v>0</v>
      </c>
      <c r="J91" s="372">
        <f t="shared" si="30"/>
        <v>0</v>
      </c>
      <c r="K91" s="372">
        <f t="shared" si="30"/>
        <v>0</v>
      </c>
      <c r="L91" s="372">
        <f t="shared" si="30"/>
        <v>0</v>
      </c>
      <c r="M91" s="372">
        <f t="shared" si="30"/>
        <v>0</v>
      </c>
      <c r="N91" s="373">
        <f t="shared" si="30"/>
        <v>0</v>
      </c>
      <c r="O91" s="258"/>
    </row>
    <row r="92" spans="1:15" x14ac:dyDescent="0.35">
      <c r="A92" s="258"/>
      <c r="B92" s="302" t="s">
        <v>531</v>
      </c>
      <c r="C92" s="302"/>
      <c r="D92" s="302"/>
      <c r="E92" s="302"/>
      <c r="F92" s="302"/>
      <c r="G92" s="374">
        <f t="shared" si="28"/>
        <v>0</v>
      </c>
      <c r="H92" s="372">
        <f t="shared" si="30"/>
        <v>0</v>
      </c>
      <c r="I92" s="372">
        <f t="shared" si="30"/>
        <v>0</v>
      </c>
      <c r="J92" s="372">
        <f t="shared" si="30"/>
        <v>0</v>
      </c>
      <c r="K92" s="372">
        <f t="shared" si="30"/>
        <v>0</v>
      </c>
      <c r="L92" s="372">
        <f t="shared" si="30"/>
        <v>0</v>
      </c>
      <c r="M92" s="372">
        <f t="shared" si="30"/>
        <v>0</v>
      </c>
      <c r="N92" s="373">
        <f t="shared" si="30"/>
        <v>0</v>
      </c>
      <c r="O92" s="258"/>
    </row>
    <row r="93" spans="1:15" x14ac:dyDescent="0.35">
      <c r="A93" s="258"/>
      <c r="B93" s="302" t="s">
        <v>532</v>
      </c>
      <c r="C93" s="302"/>
      <c r="D93" s="302"/>
      <c r="E93" s="302"/>
      <c r="F93" s="302"/>
      <c r="G93" s="374">
        <f t="shared" si="28"/>
        <v>0</v>
      </c>
      <c r="H93" s="372">
        <f t="shared" si="30"/>
        <v>0</v>
      </c>
      <c r="I93" s="372">
        <f t="shared" si="30"/>
        <v>0</v>
      </c>
      <c r="J93" s="372">
        <f t="shared" si="30"/>
        <v>0</v>
      </c>
      <c r="K93" s="372">
        <f t="shared" si="30"/>
        <v>0</v>
      </c>
      <c r="L93" s="372">
        <f t="shared" si="30"/>
        <v>0</v>
      </c>
      <c r="M93" s="372">
        <f t="shared" si="30"/>
        <v>0</v>
      </c>
      <c r="N93" s="373">
        <f t="shared" si="30"/>
        <v>0</v>
      </c>
      <c r="O93" s="258"/>
    </row>
    <row r="94" spans="1:15" x14ac:dyDescent="0.35">
      <c r="A94" s="258"/>
      <c r="B94" s="302" t="s">
        <v>533</v>
      </c>
      <c r="C94" s="302"/>
      <c r="D94" s="302"/>
      <c r="E94" s="302"/>
      <c r="F94" s="302"/>
      <c r="G94" s="374">
        <f t="shared" si="28"/>
        <v>0</v>
      </c>
      <c r="H94" s="372">
        <f t="shared" si="30"/>
        <v>0</v>
      </c>
      <c r="I94" s="372">
        <f t="shared" si="30"/>
        <v>0</v>
      </c>
      <c r="J94" s="372">
        <f t="shared" si="30"/>
        <v>0</v>
      </c>
      <c r="K94" s="372">
        <f t="shared" si="30"/>
        <v>0</v>
      </c>
      <c r="L94" s="372">
        <f t="shared" si="30"/>
        <v>0</v>
      </c>
      <c r="M94" s="372">
        <f t="shared" si="30"/>
        <v>0</v>
      </c>
      <c r="N94" s="373">
        <f t="shared" si="30"/>
        <v>0</v>
      </c>
      <c r="O94" s="258"/>
    </row>
    <row r="95" spans="1:15" x14ac:dyDescent="0.35">
      <c r="A95" s="258"/>
      <c r="B95" s="302" t="s">
        <v>534</v>
      </c>
      <c r="C95" s="302"/>
      <c r="D95" s="302"/>
      <c r="E95" s="302"/>
      <c r="F95" s="302"/>
      <c r="G95" s="374">
        <f t="shared" si="28"/>
        <v>0</v>
      </c>
      <c r="H95" s="372">
        <f t="shared" si="30"/>
        <v>0</v>
      </c>
      <c r="I95" s="372">
        <f t="shared" si="30"/>
        <v>0</v>
      </c>
      <c r="J95" s="372">
        <f t="shared" si="30"/>
        <v>0</v>
      </c>
      <c r="K95" s="372">
        <f t="shared" si="30"/>
        <v>0</v>
      </c>
      <c r="L95" s="372">
        <f t="shared" si="30"/>
        <v>0</v>
      </c>
      <c r="M95" s="372">
        <f t="shared" si="30"/>
        <v>0</v>
      </c>
      <c r="N95" s="373">
        <f t="shared" si="30"/>
        <v>0</v>
      </c>
      <c r="O95" s="258"/>
    </row>
    <row r="96" spans="1:15" x14ac:dyDescent="0.35">
      <c r="A96" s="258"/>
      <c r="B96" s="302" t="s">
        <v>535</v>
      </c>
      <c r="C96" s="302"/>
      <c r="D96" s="302"/>
      <c r="E96" s="302"/>
      <c r="F96" s="302"/>
      <c r="G96" s="374">
        <f t="shared" si="28"/>
        <v>0</v>
      </c>
      <c r="H96" s="372">
        <f t="shared" si="30"/>
        <v>0</v>
      </c>
      <c r="I96" s="372">
        <f t="shared" si="30"/>
        <v>0</v>
      </c>
      <c r="J96" s="372">
        <f t="shared" si="30"/>
        <v>0</v>
      </c>
      <c r="K96" s="372">
        <f t="shared" si="30"/>
        <v>0</v>
      </c>
      <c r="L96" s="372">
        <f t="shared" si="30"/>
        <v>0</v>
      </c>
      <c r="M96" s="372">
        <f t="shared" si="30"/>
        <v>0</v>
      </c>
      <c r="N96" s="373">
        <f t="shared" si="30"/>
        <v>0</v>
      </c>
      <c r="O96" s="258"/>
    </row>
    <row r="97" spans="1:15" x14ac:dyDescent="0.35">
      <c r="A97" s="258"/>
      <c r="B97" s="302" t="s">
        <v>536</v>
      </c>
      <c r="C97" s="302"/>
      <c r="D97" s="302"/>
      <c r="E97" s="302"/>
      <c r="F97" s="302"/>
      <c r="G97" s="374">
        <f t="shared" si="28"/>
        <v>0</v>
      </c>
      <c r="H97" s="372">
        <f t="shared" si="30"/>
        <v>0</v>
      </c>
      <c r="I97" s="372">
        <f>H97*(1+$E$24)</f>
        <v>0</v>
      </c>
      <c r="J97" s="372">
        <f t="shared" si="30"/>
        <v>0</v>
      </c>
      <c r="K97" s="372">
        <f t="shared" si="30"/>
        <v>0</v>
      </c>
      <c r="L97" s="372">
        <f t="shared" si="30"/>
        <v>0</v>
      </c>
      <c r="M97" s="372">
        <f t="shared" si="30"/>
        <v>0</v>
      </c>
      <c r="N97" s="373">
        <f t="shared" si="30"/>
        <v>0</v>
      </c>
      <c r="O97" s="258"/>
    </row>
    <row r="98" spans="1:15" x14ac:dyDescent="0.35">
      <c r="A98" s="258"/>
      <c r="B98" s="302" t="s">
        <v>537</v>
      </c>
      <c r="C98" s="302"/>
      <c r="D98" s="302"/>
      <c r="E98" s="302"/>
      <c r="F98" s="302"/>
      <c r="G98" s="374">
        <f t="shared" si="28"/>
        <v>0</v>
      </c>
      <c r="H98" s="372">
        <f t="shared" si="30"/>
        <v>0</v>
      </c>
      <c r="I98" s="372">
        <f t="shared" si="30"/>
        <v>0</v>
      </c>
      <c r="J98" s="372">
        <f t="shared" si="30"/>
        <v>0</v>
      </c>
      <c r="K98" s="372">
        <f t="shared" si="30"/>
        <v>0</v>
      </c>
      <c r="L98" s="372">
        <f t="shared" si="30"/>
        <v>0</v>
      </c>
      <c r="M98" s="372">
        <f t="shared" si="30"/>
        <v>0</v>
      </c>
      <c r="N98" s="373">
        <f t="shared" si="30"/>
        <v>0</v>
      </c>
      <c r="O98" s="258"/>
    </row>
    <row r="99" spans="1:15" x14ac:dyDescent="0.35">
      <c r="A99" s="258"/>
      <c r="B99" s="302" t="s">
        <v>538</v>
      </c>
      <c r="C99" s="302"/>
      <c r="D99" s="302"/>
      <c r="E99" s="302"/>
      <c r="F99" s="302"/>
      <c r="G99" s="374">
        <f t="shared" si="28"/>
        <v>0</v>
      </c>
      <c r="H99" s="372">
        <f t="shared" si="30"/>
        <v>0</v>
      </c>
      <c r="I99" s="372">
        <f t="shared" si="30"/>
        <v>0</v>
      </c>
      <c r="J99" s="372">
        <f t="shared" si="30"/>
        <v>0</v>
      </c>
      <c r="K99" s="372">
        <f t="shared" si="30"/>
        <v>0</v>
      </c>
      <c r="L99" s="372">
        <f t="shared" si="30"/>
        <v>0</v>
      </c>
      <c r="M99" s="372">
        <f t="shared" si="30"/>
        <v>0</v>
      </c>
      <c r="N99" s="373">
        <f t="shared" si="30"/>
        <v>0</v>
      </c>
      <c r="O99" s="258"/>
    </row>
    <row r="100" spans="1:15" x14ac:dyDescent="0.35">
      <c r="A100" s="258"/>
      <c r="B100" s="302" t="s">
        <v>539</v>
      </c>
      <c r="C100" s="302"/>
      <c r="D100" s="302"/>
      <c r="E100" s="302"/>
      <c r="F100" s="302"/>
      <c r="G100" s="374">
        <f t="shared" si="28"/>
        <v>0</v>
      </c>
      <c r="H100" s="372">
        <f t="shared" si="30"/>
        <v>0</v>
      </c>
      <c r="I100" s="372">
        <f t="shared" si="30"/>
        <v>0</v>
      </c>
      <c r="J100" s="372">
        <f t="shared" si="30"/>
        <v>0</v>
      </c>
      <c r="K100" s="372">
        <f t="shared" si="30"/>
        <v>0</v>
      </c>
      <c r="L100" s="372">
        <f t="shared" si="30"/>
        <v>0</v>
      </c>
      <c r="M100" s="372">
        <f t="shared" si="30"/>
        <v>0</v>
      </c>
      <c r="N100" s="373">
        <f t="shared" si="30"/>
        <v>0</v>
      </c>
      <c r="O100" s="258"/>
    </row>
    <row r="101" spans="1:15" x14ac:dyDescent="0.35">
      <c r="A101" s="258"/>
      <c r="B101" s="302" t="s">
        <v>540</v>
      </c>
      <c r="C101" s="302"/>
      <c r="D101" s="302"/>
      <c r="E101" s="302"/>
      <c r="F101" s="302"/>
      <c r="G101" s="374">
        <f t="shared" si="28"/>
        <v>0</v>
      </c>
      <c r="H101" s="372">
        <f t="shared" si="30"/>
        <v>0</v>
      </c>
      <c r="I101" s="372">
        <f t="shared" si="30"/>
        <v>0</v>
      </c>
      <c r="J101" s="372">
        <f t="shared" si="30"/>
        <v>0</v>
      </c>
      <c r="K101" s="372">
        <f t="shared" si="30"/>
        <v>0</v>
      </c>
      <c r="L101" s="372">
        <f t="shared" si="30"/>
        <v>0</v>
      </c>
      <c r="M101" s="372">
        <f t="shared" si="30"/>
        <v>0</v>
      </c>
      <c r="N101" s="373">
        <f t="shared" si="30"/>
        <v>0</v>
      </c>
      <c r="O101" s="258"/>
    </row>
    <row r="102" spans="1:15" x14ac:dyDescent="0.35">
      <c r="A102" s="258"/>
      <c r="B102" s="302" t="s">
        <v>541</v>
      </c>
      <c r="C102" s="302"/>
      <c r="D102" s="302"/>
      <c r="E102" s="302"/>
      <c r="F102" s="302"/>
      <c r="G102" s="374">
        <f t="shared" si="28"/>
        <v>0</v>
      </c>
      <c r="H102" s="372">
        <f t="shared" si="30"/>
        <v>0</v>
      </c>
      <c r="I102" s="372">
        <f t="shared" si="30"/>
        <v>0</v>
      </c>
      <c r="J102" s="372">
        <f t="shared" si="30"/>
        <v>0</v>
      </c>
      <c r="K102" s="372">
        <f t="shared" si="30"/>
        <v>0</v>
      </c>
      <c r="L102" s="372">
        <f>K102*(1+$E$24)</f>
        <v>0</v>
      </c>
      <c r="M102" s="372">
        <f t="shared" si="30"/>
        <v>0</v>
      </c>
      <c r="N102" s="373">
        <f t="shared" si="30"/>
        <v>0</v>
      </c>
      <c r="O102" s="258"/>
    </row>
    <row r="103" spans="1:15" x14ac:dyDescent="0.35">
      <c r="A103" s="258"/>
      <c r="B103" s="302" t="s">
        <v>542</v>
      </c>
      <c r="C103" s="302"/>
      <c r="D103" s="302"/>
      <c r="E103" s="302"/>
      <c r="F103" s="302"/>
      <c r="G103" s="374">
        <f t="shared" si="28"/>
        <v>0</v>
      </c>
      <c r="H103" s="372">
        <f t="shared" si="30"/>
        <v>0</v>
      </c>
      <c r="I103" s="372">
        <f t="shared" si="30"/>
        <v>0</v>
      </c>
      <c r="J103" s="372">
        <f t="shared" si="30"/>
        <v>0</v>
      </c>
      <c r="K103" s="372">
        <f t="shared" si="30"/>
        <v>0</v>
      </c>
      <c r="L103" s="372">
        <f t="shared" si="30"/>
        <v>0</v>
      </c>
      <c r="M103" s="372">
        <f t="shared" si="30"/>
        <v>0</v>
      </c>
      <c r="N103" s="373">
        <f t="shared" si="30"/>
        <v>0</v>
      </c>
      <c r="O103" s="258"/>
    </row>
    <row r="104" spans="1:15" x14ac:dyDescent="0.35">
      <c r="A104" s="258"/>
      <c r="B104" s="302" t="s">
        <v>543</v>
      </c>
      <c r="C104" s="302"/>
      <c r="D104" s="302"/>
      <c r="E104" s="302"/>
      <c r="F104" s="302"/>
      <c r="G104" s="374">
        <f t="shared" si="28"/>
        <v>0</v>
      </c>
      <c r="H104" s="372">
        <f t="shared" si="30"/>
        <v>0</v>
      </c>
      <c r="I104" s="372">
        <f t="shared" si="30"/>
        <v>0</v>
      </c>
      <c r="J104" s="372">
        <f t="shared" si="30"/>
        <v>0</v>
      </c>
      <c r="K104" s="372">
        <f t="shared" si="30"/>
        <v>0</v>
      </c>
      <c r="L104" s="372">
        <f t="shared" si="30"/>
        <v>0</v>
      </c>
      <c r="M104" s="372">
        <f t="shared" si="30"/>
        <v>0</v>
      </c>
      <c r="N104" s="373">
        <f t="shared" si="30"/>
        <v>0</v>
      </c>
      <c r="O104" s="258"/>
    </row>
    <row r="105" spans="1:15" x14ac:dyDescent="0.35">
      <c r="A105" s="258"/>
      <c r="B105" s="302" t="s">
        <v>544</v>
      </c>
      <c r="C105" s="302"/>
      <c r="D105" s="302"/>
      <c r="E105" s="302"/>
      <c r="F105" s="302"/>
      <c r="G105" s="374">
        <f t="shared" si="28"/>
        <v>0</v>
      </c>
      <c r="H105" s="372">
        <f t="shared" si="30"/>
        <v>0</v>
      </c>
      <c r="I105" s="372">
        <f t="shared" si="30"/>
        <v>0</v>
      </c>
      <c r="J105" s="372">
        <f t="shared" si="30"/>
        <v>0</v>
      </c>
      <c r="K105" s="372">
        <f t="shared" si="30"/>
        <v>0</v>
      </c>
      <c r="L105" s="372">
        <f t="shared" si="30"/>
        <v>0</v>
      </c>
      <c r="M105" s="372">
        <f t="shared" si="30"/>
        <v>0</v>
      </c>
      <c r="N105" s="373">
        <f t="shared" si="30"/>
        <v>0</v>
      </c>
      <c r="O105" s="258"/>
    </row>
    <row r="106" spans="1:15" x14ac:dyDescent="0.35">
      <c r="A106" s="258"/>
      <c r="B106" s="302" t="s">
        <v>545</v>
      </c>
      <c r="C106" s="302"/>
      <c r="D106" s="302"/>
      <c r="E106" s="302"/>
      <c r="F106" s="302"/>
      <c r="G106" s="374">
        <f t="shared" si="28"/>
        <v>0</v>
      </c>
      <c r="H106" s="372">
        <f t="shared" si="30"/>
        <v>0</v>
      </c>
      <c r="I106" s="372">
        <f t="shared" si="30"/>
        <v>0</v>
      </c>
      <c r="J106" s="372">
        <f t="shared" si="30"/>
        <v>0</v>
      </c>
      <c r="K106" s="372">
        <f t="shared" si="30"/>
        <v>0</v>
      </c>
      <c r="L106" s="372">
        <f t="shared" si="30"/>
        <v>0</v>
      </c>
      <c r="M106" s="372">
        <f t="shared" si="30"/>
        <v>0</v>
      </c>
      <c r="N106" s="373">
        <f t="shared" si="30"/>
        <v>0</v>
      </c>
      <c r="O106" s="258"/>
    </row>
    <row r="107" spans="1:15" x14ac:dyDescent="0.35">
      <c r="A107" s="258"/>
      <c r="B107" s="302" t="s">
        <v>546</v>
      </c>
      <c r="C107" s="302"/>
      <c r="D107" s="302"/>
      <c r="E107" s="302"/>
      <c r="F107" s="302"/>
      <c r="G107" s="374">
        <f t="shared" si="28"/>
        <v>0</v>
      </c>
      <c r="H107" s="372">
        <f>G107*(1+$E$24)</f>
        <v>0</v>
      </c>
      <c r="I107" s="372">
        <f t="shared" si="30"/>
        <v>0</v>
      </c>
      <c r="J107" s="372">
        <f t="shared" si="30"/>
        <v>0</v>
      </c>
      <c r="K107" s="372">
        <f t="shared" si="30"/>
        <v>0</v>
      </c>
      <c r="L107" s="372">
        <f t="shared" si="30"/>
        <v>0</v>
      </c>
      <c r="M107" s="372">
        <f t="shared" si="30"/>
        <v>0</v>
      </c>
      <c r="N107" s="373">
        <f t="shared" si="30"/>
        <v>0</v>
      </c>
      <c r="O107" s="303"/>
    </row>
    <row r="108" spans="1:15" x14ac:dyDescent="0.35">
      <c r="A108" s="258"/>
      <c r="B108" s="302" t="s">
        <v>547</v>
      </c>
      <c r="C108" s="302"/>
      <c r="D108" s="302"/>
      <c r="E108" s="302"/>
      <c r="F108" s="302"/>
      <c r="G108" s="374">
        <f t="shared" si="28"/>
        <v>0</v>
      </c>
      <c r="H108" s="372">
        <f t="shared" si="30"/>
        <v>0</v>
      </c>
      <c r="I108" s="372">
        <f t="shared" si="30"/>
        <v>0</v>
      </c>
      <c r="J108" s="372">
        <f t="shared" si="30"/>
        <v>0</v>
      </c>
      <c r="K108" s="372">
        <f t="shared" si="30"/>
        <v>0</v>
      </c>
      <c r="L108" s="372">
        <f t="shared" si="30"/>
        <v>0</v>
      </c>
      <c r="M108" s="372">
        <f t="shared" si="30"/>
        <v>0</v>
      </c>
      <c r="N108" s="373">
        <f t="shared" si="30"/>
        <v>0</v>
      </c>
      <c r="O108" s="258"/>
    </row>
    <row r="109" spans="1:15" x14ac:dyDescent="0.35">
      <c r="A109" s="258"/>
      <c r="B109" s="302" t="s">
        <v>548</v>
      </c>
      <c r="C109" s="302"/>
      <c r="D109" s="302"/>
      <c r="E109" s="302"/>
      <c r="F109" s="302"/>
      <c r="G109" s="374">
        <f t="shared" si="28"/>
        <v>0</v>
      </c>
      <c r="H109" s="372">
        <f t="shared" si="30"/>
        <v>0</v>
      </c>
      <c r="I109" s="372">
        <f t="shared" si="30"/>
        <v>0</v>
      </c>
      <c r="J109" s="372">
        <f t="shared" si="30"/>
        <v>0</v>
      </c>
      <c r="K109" s="372">
        <f t="shared" si="30"/>
        <v>0</v>
      </c>
      <c r="L109" s="372">
        <f t="shared" si="30"/>
        <v>0</v>
      </c>
      <c r="M109" s="372">
        <f t="shared" si="30"/>
        <v>0</v>
      </c>
      <c r="N109" s="373">
        <f t="shared" si="30"/>
        <v>0</v>
      </c>
      <c r="O109" s="258"/>
    </row>
    <row r="110" spans="1:15" x14ac:dyDescent="0.35">
      <c r="A110" s="258"/>
      <c r="B110" s="281" t="s">
        <v>549</v>
      </c>
      <c r="C110" s="281"/>
      <c r="D110" s="281"/>
      <c r="E110" s="281"/>
      <c r="F110" s="281"/>
      <c r="G110" s="375">
        <f t="shared" si="28"/>
        <v>0</v>
      </c>
      <c r="H110" s="372">
        <f t="shared" si="30"/>
        <v>0</v>
      </c>
      <c r="I110" s="372">
        <f t="shared" si="30"/>
        <v>0</v>
      </c>
      <c r="J110" s="372">
        <f t="shared" si="30"/>
        <v>0</v>
      </c>
      <c r="K110" s="372">
        <f t="shared" si="30"/>
        <v>0</v>
      </c>
      <c r="L110" s="372">
        <f t="shared" si="30"/>
        <v>0</v>
      </c>
      <c r="M110" s="372">
        <f t="shared" si="30"/>
        <v>0</v>
      </c>
      <c r="N110" s="373">
        <f t="shared" si="30"/>
        <v>0</v>
      </c>
      <c r="O110" s="258"/>
    </row>
    <row r="111" spans="1:15" x14ac:dyDescent="0.35">
      <c r="A111" s="258"/>
      <c r="B111" s="306" t="s">
        <v>550</v>
      </c>
      <c r="C111" s="280"/>
      <c r="D111" s="258"/>
      <c r="E111" s="283"/>
      <c r="F111" s="258"/>
      <c r="G111" s="376">
        <f t="shared" ref="G111:N111" si="31">SUM(G90:G110)</f>
        <v>0</v>
      </c>
      <c r="H111" s="377">
        <f t="shared" si="31"/>
        <v>0</v>
      </c>
      <c r="I111" s="308">
        <f t="shared" si="31"/>
        <v>0</v>
      </c>
      <c r="J111" s="308">
        <f t="shared" si="31"/>
        <v>0</v>
      </c>
      <c r="K111" s="308">
        <f t="shared" si="31"/>
        <v>0</v>
      </c>
      <c r="L111" s="308">
        <f t="shared" si="31"/>
        <v>0</v>
      </c>
      <c r="M111" s="308">
        <f t="shared" si="31"/>
        <v>0</v>
      </c>
      <c r="N111" s="309">
        <f t="shared" si="31"/>
        <v>0</v>
      </c>
      <c r="O111" s="258"/>
    </row>
    <row r="112" spans="1:15" ht="7.9" customHeight="1" x14ac:dyDescent="0.35">
      <c r="A112" s="258"/>
      <c r="B112" s="306"/>
      <c r="C112" s="280"/>
      <c r="D112" s="258"/>
      <c r="E112" s="310"/>
      <c r="F112" s="258"/>
      <c r="G112" s="726"/>
      <c r="H112" s="727"/>
      <c r="I112" s="727"/>
      <c r="J112" s="727"/>
      <c r="K112" s="727"/>
      <c r="L112" s="727"/>
      <c r="M112" s="727"/>
      <c r="N112" s="728"/>
      <c r="O112" s="258"/>
    </row>
    <row r="113" spans="1:15" x14ac:dyDescent="0.35">
      <c r="A113" s="258"/>
      <c r="B113" s="433" t="s">
        <v>551</v>
      </c>
      <c r="C113" s="434"/>
      <c r="D113" s="435"/>
      <c r="E113" s="435"/>
      <c r="F113" s="432"/>
      <c r="G113" s="428">
        <f>N47*(1+$E$24)</f>
        <v>0</v>
      </c>
      <c r="H113" s="372">
        <f>G113*(1+$E$24)</f>
        <v>0</v>
      </c>
      <c r="I113" s="372">
        <f t="shared" ref="I113:N113" si="32">H113*(1+$E$24)</f>
        <v>0</v>
      </c>
      <c r="J113" s="372">
        <f t="shared" si="32"/>
        <v>0</v>
      </c>
      <c r="K113" s="372">
        <f t="shared" si="32"/>
        <v>0</v>
      </c>
      <c r="L113" s="372">
        <f t="shared" si="32"/>
        <v>0</v>
      </c>
      <c r="M113" s="372">
        <f t="shared" si="32"/>
        <v>0</v>
      </c>
      <c r="N113" s="420">
        <f t="shared" si="32"/>
        <v>0</v>
      </c>
      <c r="O113" s="419"/>
    </row>
    <row r="114" spans="1:15" x14ac:dyDescent="0.35">
      <c r="A114" s="258"/>
      <c r="B114" s="315" t="s">
        <v>552</v>
      </c>
      <c r="C114" s="279"/>
      <c r="D114" s="316"/>
      <c r="E114" s="316"/>
      <c r="F114" s="316"/>
      <c r="G114" s="426">
        <f>N48*(1+$E$24)</f>
        <v>0</v>
      </c>
      <c r="H114" s="431">
        <f>G114*(1+$E$24)</f>
        <v>0</v>
      </c>
      <c r="I114" s="427">
        <f t="shared" ref="I114:N114" si="33">H114*(1+$E$24)</f>
        <v>0</v>
      </c>
      <c r="J114" s="372">
        <f t="shared" si="33"/>
        <v>0</v>
      </c>
      <c r="K114" s="372">
        <f t="shared" si="33"/>
        <v>0</v>
      </c>
      <c r="L114" s="372">
        <f t="shared" si="33"/>
        <v>0</v>
      </c>
      <c r="M114" s="372">
        <f t="shared" si="33"/>
        <v>0</v>
      </c>
      <c r="N114" s="420">
        <f t="shared" si="33"/>
        <v>0</v>
      </c>
      <c r="O114" s="419"/>
    </row>
    <row r="115" spans="1:15" ht="15" thickBot="1" x14ac:dyDescent="0.4">
      <c r="A115" s="258"/>
      <c r="B115" s="378" t="s">
        <v>553</v>
      </c>
      <c r="C115" s="379"/>
      <c r="D115" s="379"/>
      <c r="E115" s="379"/>
      <c r="F115" s="380"/>
      <c r="G115" s="429">
        <f>SUM(G113:G114)</f>
        <v>0</v>
      </c>
      <c r="H115" s="430">
        <f>SUM(H113:H114)</f>
        <v>0</v>
      </c>
      <c r="I115" s="381">
        <f t="shared" ref="I115:N115" si="34">SUM(I113:I114)</f>
        <v>0</v>
      </c>
      <c r="J115" s="381">
        <f t="shared" si="34"/>
        <v>0</v>
      </c>
      <c r="K115" s="381">
        <f t="shared" si="34"/>
        <v>0</v>
      </c>
      <c r="L115" s="381">
        <f t="shared" si="34"/>
        <v>0</v>
      </c>
      <c r="M115" s="381">
        <f>SUM(M113:M114)</f>
        <v>0</v>
      </c>
      <c r="N115" s="382">
        <f t="shared" si="34"/>
        <v>0</v>
      </c>
      <c r="O115" s="258"/>
    </row>
    <row r="116" spans="1:15" ht="15.5" thickTop="1" thickBot="1" x14ac:dyDescent="0.4">
      <c r="A116" s="258"/>
      <c r="B116" s="291" t="s">
        <v>554</v>
      </c>
      <c r="C116" s="280"/>
      <c r="D116" s="258"/>
      <c r="E116" s="280"/>
      <c r="F116" s="322" t="s">
        <v>15</v>
      </c>
      <c r="G116" s="383">
        <f>G115+G111</f>
        <v>0</v>
      </c>
      <c r="H116" s="384">
        <f t="shared" ref="H116:N116" si="35">H111+H115</f>
        <v>0</v>
      </c>
      <c r="I116" s="385">
        <f t="shared" si="35"/>
        <v>0</v>
      </c>
      <c r="J116" s="385">
        <f t="shared" si="35"/>
        <v>0</v>
      </c>
      <c r="K116" s="385">
        <f t="shared" si="35"/>
        <v>0</v>
      </c>
      <c r="L116" s="385">
        <f t="shared" si="35"/>
        <v>0</v>
      </c>
      <c r="M116" s="385">
        <f t="shared" si="35"/>
        <v>0</v>
      </c>
      <c r="N116" s="386">
        <f t="shared" si="35"/>
        <v>0</v>
      </c>
      <c r="O116" s="258"/>
    </row>
    <row r="117" spans="1:15" ht="15" thickBot="1" x14ac:dyDescent="0.4">
      <c r="A117" s="258"/>
      <c r="B117" s="280"/>
      <c r="C117" s="280"/>
      <c r="D117" s="280"/>
      <c r="E117" s="280"/>
      <c r="F117" s="280"/>
      <c r="G117" s="327"/>
      <c r="H117" s="328"/>
      <c r="I117" s="328"/>
      <c r="J117" s="328"/>
      <c r="K117" s="328"/>
      <c r="L117" s="328"/>
      <c r="M117" s="328"/>
      <c r="N117" s="328"/>
      <c r="O117" s="258"/>
    </row>
    <row r="118" spans="1:15" ht="15" thickBot="1" x14ac:dyDescent="0.4">
      <c r="A118" s="258"/>
      <c r="B118" s="291" t="s">
        <v>555</v>
      </c>
      <c r="C118" s="280"/>
      <c r="D118" s="280"/>
      <c r="E118" s="280"/>
      <c r="F118" s="322" t="s">
        <v>15</v>
      </c>
      <c r="G118" s="330">
        <f>G86-G116</f>
        <v>0</v>
      </c>
      <c r="H118" s="387">
        <f t="shared" ref="H118:N118" si="36">H86-H116</f>
        <v>0</v>
      </c>
      <c r="I118" s="331">
        <f t="shared" si="36"/>
        <v>0</v>
      </c>
      <c r="J118" s="331">
        <f t="shared" si="36"/>
        <v>0</v>
      </c>
      <c r="K118" s="331">
        <f t="shared" si="36"/>
        <v>0</v>
      </c>
      <c r="L118" s="331">
        <f t="shared" si="36"/>
        <v>0</v>
      </c>
      <c r="M118" s="331">
        <f t="shared" si="36"/>
        <v>0</v>
      </c>
      <c r="N118" s="332">
        <f t="shared" si="36"/>
        <v>0</v>
      </c>
      <c r="O118" s="258"/>
    </row>
    <row r="119" spans="1:15" x14ac:dyDescent="0.35">
      <c r="A119" s="258"/>
      <c r="B119" s="291"/>
      <c r="C119" s="280"/>
      <c r="D119" s="280"/>
      <c r="E119" s="280"/>
      <c r="F119" s="280"/>
      <c r="G119" s="283"/>
      <c r="H119" s="333"/>
      <c r="I119" s="333"/>
      <c r="J119" s="333"/>
      <c r="K119" s="333"/>
      <c r="L119" s="333"/>
      <c r="M119" s="333"/>
      <c r="N119" s="333"/>
      <c r="O119" s="258"/>
    </row>
    <row r="120" spans="1:15" ht="15" thickBot="1" x14ac:dyDescent="0.4">
      <c r="A120" s="257"/>
      <c r="B120" s="723" t="s">
        <v>556</v>
      </c>
      <c r="C120" s="723"/>
      <c r="D120" s="723"/>
      <c r="E120" s="334"/>
      <c r="F120" s="334"/>
      <c r="G120" s="334"/>
      <c r="H120" s="334"/>
      <c r="I120" s="334"/>
      <c r="J120" s="334"/>
      <c r="K120" s="334"/>
      <c r="L120" s="334"/>
      <c r="M120" s="334"/>
      <c r="N120" s="334"/>
      <c r="O120" s="257"/>
    </row>
    <row r="121" spans="1:15" ht="15" thickBot="1" x14ac:dyDescent="0.4">
      <c r="A121" s="257"/>
      <c r="B121" s="388" t="s">
        <v>557</v>
      </c>
      <c r="C121" s="257"/>
      <c r="D121" s="257"/>
      <c r="E121" s="464"/>
      <c r="F121" s="389"/>
      <c r="G121" s="266" t="s">
        <v>575</v>
      </c>
      <c r="H121" s="267" t="s">
        <v>576</v>
      </c>
      <c r="I121" s="267" t="s">
        <v>577</v>
      </c>
      <c r="J121" s="267" t="s">
        <v>578</v>
      </c>
      <c r="K121" s="267" t="s">
        <v>579</v>
      </c>
      <c r="L121" s="267" t="s">
        <v>580</v>
      </c>
      <c r="M121" s="268" t="s">
        <v>581</v>
      </c>
      <c r="N121" s="268" t="s">
        <v>582</v>
      </c>
      <c r="O121" s="257"/>
    </row>
    <row r="122" spans="1:15" x14ac:dyDescent="0.35">
      <c r="A122" s="257"/>
      <c r="B122" s="493" t="s">
        <v>559</v>
      </c>
      <c r="C122" s="488"/>
      <c r="D122" s="488"/>
      <c r="E122" s="488"/>
      <c r="F122" s="494"/>
      <c r="G122" s="495">
        <v>0</v>
      </c>
      <c r="H122" s="36">
        <v>0</v>
      </c>
      <c r="I122" s="29">
        <v>0</v>
      </c>
      <c r="J122" s="29">
        <v>0</v>
      </c>
      <c r="K122" s="29">
        <v>0</v>
      </c>
      <c r="L122" s="29">
        <v>0</v>
      </c>
      <c r="M122" s="29">
        <v>0</v>
      </c>
      <c r="N122" s="30">
        <v>0</v>
      </c>
      <c r="O122" s="257"/>
    </row>
    <row r="123" spans="1:15" x14ac:dyDescent="0.35">
      <c r="A123" s="257"/>
      <c r="B123" s="496" t="s">
        <v>560</v>
      </c>
      <c r="C123" s="497"/>
      <c r="D123" s="497"/>
      <c r="E123" s="497"/>
      <c r="F123" s="498"/>
      <c r="G123" s="499">
        <v>0</v>
      </c>
      <c r="H123" s="23">
        <v>0</v>
      </c>
      <c r="I123" s="31">
        <v>0</v>
      </c>
      <c r="J123" s="31">
        <v>0</v>
      </c>
      <c r="K123" s="31">
        <v>0</v>
      </c>
      <c r="L123" s="31">
        <v>0</v>
      </c>
      <c r="M123" s="31">
        <v>0</v>
      </c>
      <c r="N123" s="32">
        <v>0</v>
      </c>
      <c r="O123" s="257"/>
    </row>
    <row r="124" spans="1:15" ht="15" thickBot="1" x14ac:dyDescent="0.4">
      <c r="A124" s="257"/>
      <c r="B124" s="500" t="s">
        <v>561</v>
      </c>
      <c r="C124" s="501"/>
      <c r="D124" s="501"/>
      <c r="E124" s="501"/>
      <c r="F124" s="502"/>
      <c r="G124" s="503">
        <v>0</v>
      </c>
      <c r="H124" s="37">
        <v>0</v>
      </c>
      <c r="I124" s="34">
        <v>0</v>
      </c>
      <c r="J124" s="34">
        <v>0</v>
      </c>
      <c r="K124" s="34">
        <v>0</v>
      </c>
      <c r="L124" s="34">
        <v>0</v>
      </c>
      <c r="M124" s="34">
        <v>0</v>
      </c>
      <c r="N124" s="35">
        <v>0</v>
      </c>
      <c r="O124" s="257"/>
    </row>
    <row r="125" spans="1:15" ht="15.5" thickTop="1" thickBot="1" x14ac:dyDescent="0.4">
      <c r="A125" s="257"/>
      <c r="B125" s="257"/>
      <c r="C125" s="257"/>
      <c r="D125" s="257"/>
      <c r="E125" s="349" t="s">
        <v>562</v>
      </c>
      <c r="F125" s="336"/>
      <c r="G125" s="390">
        <f t="shared" ref="G125:N125" si="37">SUM(G122:G124)</f>
        <v>0</v>
      </c>
      <c r="H125" s="391">
        <f t="shared" si="37"/>
        <v>0</v>
      </c>
      <c r="I125" s="392">
        <f t="shared" si="37"/>
        <v>0</v>
      </c>
      <c r="J125" s="392">
        <f t="shared" si="37"/>
        <v>0</v>
      </c>
      <c r="K125" s="392">
        <f t="shared" si="37"/>
        <v>0</v>
      </c>
      <c r="L125" s="392">
        <f t="shared" si="37"/>
        <v>0</v>
      </c>
      <c r="M125" s="392">
        <f t="shared" si="37"/>
        <v>0</v>
      </c>
      <c r="N125" s="393">
        <f t="shared" si="37"/>
        <v>0</v>
      </c>
      <c r="O125" s="257"/>
    </row>
    <row r="126" spans="1:15" x14ac:dyDescent="0.35">
      <c r="A126" s="257"/>
      <c r="B126" s="257"/>
      <c r="C126" s="257"/>
      <c r="D126" s="257"/>
      <c r="E126" s="349" t="s">
        <v>563</v>
      </c>
      <c r="F126" s="336"/>
      <c r="G126" s="394">
        <f t="shared" ref="G126:N126" si="38">G118-G125</f>
        <v>0</v>
      </c>
      <c r="H126" s="395">
        <f t="shared" si="38"/>
        <v>0</v>
      </c>
      <c r="I126" s="396">
        <f t="shared" si="38"/>
        <v>0</v>
      </c>
      <c r="J126" s="396">
        <f t="shared" si="38"/>
        <v>0</v>
      </c>
      <c r="K126" s="396">
        <f t="shared" si="38"/>
        <v>0</v>
      </c>
      <c r="L126" s="418">
        <f t="shared" si="38"/>
        <v>0</v>
      </c>
      <c r="M126" s="396">
        <f t="shared" si="38"/>
        <v>0</v>
      </c>
      <c r="N126" s="397">
        <f t="shared" si="38"/>
        <v>0</v>
      </c>
      <c r="O126" s="257"/>
    </row>
    <row r="127" spans="1:15" ht="15" thickBot="1" x14ac:dyDescent="0.4">
      <c r="A127" s="257"/>
      <c r="B127" s="257"/>
      <c r="C127" s="257"/>
      <c r="D127" s="257"/>
      <c r="E127" s="349" t="s">
        <v>564</v>
      </c>
      <c r="F127" s="336"/>
      <c r="G127" s="416">
        <f>IFERROR(G118/G125, 0)</f>
        <v>0</v>
      </c>
      <c r="H127" s="460">
        <f t="shared" ref="H127:N127" si="39">IFERROR(H118/H125, 0)</f>
        <v>0</v>
      </c>
      <c r="I127" s="459">
        <f t="shared" si="39"/>
        <v>0</v>
      </c>
      <c r="J127" s="459">
        <f t="shared" si="39"/>
        <v>0</v>
      </c>
      <c r="K127" s="459">
        <f t="shared" si="39"/>
        <v>0</v>
      </c>
      <c r="L127" s="461">
        <f t="shared" si="39"/>
        <v>0</v>
      </c>
      <c r="M127" s="460">
        <f t="shared" si="39"/>
        <v>0</v>
      </c>
      <c r="N127" s="417">
        <f t="shared" si="39"/>
        <v>0</v>
      </c>
      <c r="O127" s="410"/>
    </row>
    <row r="128" spans="1:15" ht="15" thickBot="1" x14ac:dyDescent="0.4">
      <c r="A128" s="257"/>
      <c r="B128" s="257"/>
      <c r="C128" s="269"/>
      <c r="D128" s="257"/>
      <c r="E128" s="257"/>
      <c r="F128" s="257"/>
      <c r="G128" s="257"/>
      <c r="H128" s="257"/>
      <c r="I128" s="257"/>
      <c r="J128" s="257"/>
      <c r="K128" s="257"/>
      <c r="L128" s="257"/>
      <c r="M128" s="257"/>
      <c r="N128" s="257"/>
      <c r="O128" s="257"/>
    </row>
    <row r="129" spans="1:14" ht="15" thickBot="1" x14ac:dyDescent="0.4">
      <c r="A129" s="344"/>
      <c r="B129" s="335" t="s">
        <v>565</v>
      </c>
      <c r="C129" s="344"/>
      <c r="D129" s="344"/>
      <c r="E129" s="345"/>
      <c r="F129" s="398"/>
      <c r="G129" s="346" t="s">
        <v>575</v>
      </c>
      <c r="H129" s="347" t="s">
        <v>576</v>
      </c>
      <c r="I129" s="347" t="s">
        <v>577</v>
      </c>
      <c r="J129" s="347" t="s">
        <v>578</v>
      </c>
      <c r="K129" s="347" t="s">
        <v>579</v>
      </c>
      <c r="L129" s="347" t="s">
        <v>580</v>
      </c>
      <c r="M129" s="348" t="s">
        <v>581</v>
      </c>
      <c r="N129" s="348" t="s">
        <v>582</v>
      </c>
    </row>
    <row r="130" spans="1:14" x14ac:dyDescent="0.35">
      <c r="A130" s="344"/>
      <c r="B130" s="504" t="s">
        <v>566</v>
      </c>
      <c r="C130" s="505"/>
      <c r="D130" s="505"/>
      <c r="E130" s="505"/>
      <c r="F130" s="506"/>
      <c r="G130" s="38">
        <v>0</v>
      </c>
      <c r="H130" s="50">
        <v>0</v>
      </c>
      <c r="I130" s="39">
        <v>0</v>
      </c>
      <c r="J130" s="39">
        <v>0</v>
      </c>
      <c r="K130" s="39">
        <v>0</v>
      </c>
      <c r="L130" s="39">
        <v>0</v>
      </c>
      <c r="M130" s="39">
        <v>0</v>
      </c>
      <c r="N130" s="40">
        <v>0</v>
      </c>
    </row>
    <row r="131" spans="1:14" x14ac:dyDescent="0.35">
      <c r="A131" s="344"/>
      <c r="B131" s="507" t="s">
        <v>567</v>
      </c>
      <c r="C131" s="508"/>
      <c r="D131" s="508"/>
      <c r="E131" s="508"/>
      <c r="F131" s="509"/>
      <c r="G131" s="41">
        <v>0</v>
      </c>
      <c r="H131" s="51">
        <v>0</v>
      </c>
      <c r="I131" s="42">
        <v>0</v>
      </c>
      <c r="J131" s="42">
        <v>0</v>
      </c>
      <c r="K131" s="42">
        <v>0</v>
      </c>
      <c r="L131" s="42">
        <v>0</v>
      </c>
      <c r="M131" s="42">
        <v>0</v>
      </c>
      <c r="N131" s="43">
        <v>0</v>
      </c>
    </row>
    <row r="132" spans="1:14" x14ac:dyDescent="0.35">
      <c r="A132" s="344"/>
      <c r="B132" s="507" t="s">
        <v>568</v>
      </c>
      <c r="C132" s="508"/>
      <c r="D132" s="508"/>
      <c r="E132" s="508"/>
      <c r="F132" s="509"/>
      <c r="G132" s="44">
        <v>0</v>
      </c>
      <c r="H132" s="52">
        <v>0</v>
      </c>
      <c r="I132" s="45">
        <v>0</v>
      </c>
      <c r="J132" s="45">
        <v>0</v>
      </c>
      <c r="K132" s="45">
        <v>0</v>
      </c>
      <c r="L132" s="45">
        <v>0</v>
      </c>
      <c r="M132" s="45">
        <v>0</v>
      </c>
      <c r="N132" s="46">
        <v>0</v>
      </c>
    </row>
    <row r="133" spans="1:14" x14ac:dyDescent="0.35">
      <c r="A133" s="344"/>
      <c r="B133" s="507" t="s">
        <v>569</v>
      </c>
      <c r="C133" s="508"/>
      <c r="D133" s="508"/>
      <c r="E133" s="508"/>
      <c r="F133" s="509"/>
      <c r="G133" s="44">
        <v>0</v>
      </c>
      <c r="H133" s="52">
        <v>0</v>
      </c>
      <c r="I133" s="45">
        <v>0</v>
      </c>
      <c r="J133" s="45">
        <v>0</v>
      </c>
      <c r="K133" s="45">
        <v>0</v>
      </c>
      <c r="L133" s="45">
        <v>0</v>
      </c>
      <c r="M133" s="45">
        <v>0</v>
      </c>
      <c r="N133" s="46">
        <v>0</v>
      </c>
    </row>
    <row r="134" spans="1:14" x14ac:dyDescent="0.35">
      <c r="A134" s="344"/>
      <c r="B134" s="510" t="s">
        <v>570</v>
      </c>
      <c r="C134" s="511"/>
      <c r="D134" s="511"/>
      <c r="E134" s="511"/>
      <c r="F134" s="512"/>
      <c r="G134" s="44">
        <v>0</v>
      </c>
      <c r="H134" s="52">
        <v>0</v>
      </c>
      <c r="I134" s="45">
        <v>0</v>
      </c>
      <c r="J134" s="45">
        <v>0</v>
      </c>
      <c r="K134" s="45">
        <v>0</v>
      </c>
      <c r="L134" s="45">
        <v>0</v>
      </c>
      <c r="M134" s="45">
        <v>0</v>
      </c>
      <c r="N134" s="46">
        <v>0</v>
      </c>
    </row>
    <row r="135" spans="1:14" ht="15" thickBot="1" x14ac:dyDescent="0.4">
      <c r="A135" s="344"/>
      <c r="B135" s="513" t="s">
        <v>571</v>
      </c>
      <c r="C135" s="514"/>
      <c r="D135" s="514"/>
      <c r="E135" s="514"/>
      <c r="F135" s="515"/>
      <c r="G135" s="47">
        <v>0</v>
      </c>
      <c r="H135" s="53">
        <v>0</v>
      </c>
      <c r="I135" s="48">
        <v>0</v>
      </c>
      <c r="J135" s="48">
        <v>0</v>
      </c>
      <c r="K135" s="48">
        <v>0</v>
      </c>
      <c r="L135" s="48">
        <v>0</v>
      </c>
      <c r="M135" s="48">
        <v>0</v>
      </c>
      <c r="N135" s="49">
        <v>0</v>
      </c>
    </row>
    <row r="136" spans="1:14" ht="15.5" thickTop="1" thickBot="1" x14ac:dyDescent="0.4">
      <c r="A136" s="344"/>
      <c r="B136" s="344"/>
      <c r="C136" s="344"/>
      <c r="D136" s="344"/>
      <c r="E136" s="349" t="s">
        <v>584</v>
      </c>
      <c r="F136" s="349"/>
      <c r="G136" s="399">
        <f>SUM(G130:G135)</f>
        <v>0</v>
      </c>
      <c r="H136" s="400">
        <f>SUM(H130:H135)</f>
        <v>0</v>
      </c>
      <c r="I136" s="401">
        <f t="shared" ref="I136:N136" si="40">SUM(I130:I135)</f>
        <v>0</v>
      </c>
      <c r="J136" s="401">
        <f t="shared" si="40"/>
        <v>0</v>
      </c>
      <c r="K136" s="401">
        <f t="shared" si="40"/>
        <v>0</v>
      </c>
      <c r="L136" s="401">
        <f t="shared" si="40"/>
        <v>0</v>
      </c>
      <c r="M136" s="401">
        <f t="shared" si="40"/>
        <v>0</v>
      </c>
      <c r="N136" s="402">
        <f t="shared" si="40"/>
        <v>0</v>
      </c>
    </row>
    <row r="137" spans="1:14" x14ac:dyDescent="0.35">
      <c r="A137" s="344"/>
      <c r="B137" s="344"/>
      <c r="C137" s="344"/>
      <c r="D137" s="344"/>
      <c r="E137" s="349"/>
      <c r="F137" s="349"/>
      <c r="G137" s="403"/>
      <c r="H137" s="403"/>
      <c r="I137" s="403"/>
      <c r="J137" s="403"/>
      <c r="K137" s="403"/>
      <c r="L137" s="403"/>
      <c r="M137" s="403"/>
      <c r="N137" s="403"/>
    </row>
    <row r="138" spans="1:14" x14ac:dyDescent="0.35">
      <c r="A138" s="344"/>
      <c r="B138" s="344"/>
      <c r="C138" s="344"/>
      <c r="D138" s="344"/>
      <c r="E138" s="349" t="s">
        <v>585</v>
      </c>
      <c r="F138" s="349"/>
      <c r="G138" s="465">
        <f>IFERROR(G118/(G125+G136),0)</f>
        <v>0</v>
      </c>
      <c r="H138" s="465">
        <f t="shared" ref="H138:N138" si="41">IFERROR(H118/(H125+H136),0)</f>
        <v>0</v>
      </c>
      <c r="I138" s="465">
        <f t="shared" si="41"/>
        <v>0</v>
      </c>
      <c r="J138" s="465">
        <f t="shared" si="41"/>
        <v>0</v>
      </c>
      <c r="K138" s="465">
        <f t="shared" si="41"/>
        <v>0</v>
      </c>
      <c r="L138" s="465">
        <f t="shared" si="41"/>
        <v>0</v>
      </c>
      <c r="M138" s="465">
        <f t="shared" si="41"/>
        <v>0</v>
      </c>
      <c r="N138" s="465">
        <f t="shared" si="41"/>
        <v>0</v>
      </c>
    </row>
    <row r="139" spans="1:14" x14ac:dyDescent="0.35">
      <c r="A139" s="404"/>
      <c r="B139" s="404"/>
      <c r="C139" s="404"/>
      <c r="D139" s="404"/>
      <c r="E139" s="349" t="s">
        <v>574</v>
      </c>
      <c r="F139" s="404"/>
      <c r="G139" s="466">
        <f>G126-G136</f>
        <v>0</v>
      </c>
      <c r="H139" s="466">
        <f>H126-H136</f>
        <v>0</v>
      </c>
      <c r="I139" s="466">
        <f t="shared" ref="I139:N139" si="42">I126-I136</f>
        <v>0</v>
      </c>
      <c r="J139" s="466">
        <f t="shared" si="42"/>
        <v>0</v>
      </c>
      <c r="K139" s="466">
        <f t="shared" si="42"/>
        <v>0</v>
      </c>
      <c r="L139" s="466">
        <f t="shared" si="42"/>
        <v>0</v>
      </c>
      <c r="M139" s="466">
        <f t="shared" si="42"/>
        <v>0</v>
      </c>
      <c r="N139" s="466">
        <f t="shared" si="42"/>
        <v>0</v>
      </c>
    </row>
  </sheetData>
  <sheetProtection algorithmName="SHA-512" hashValue="+huJ6BTnTxeCY+QZ4gWkrY6IU5HNB6AScUG/5Fq8XJGlutu4G+G2KZPvPaHkG1RDxsQUVMtmlG1eynH8Xbzcog==" saltValue="NnigNhtSFlRd9EqpnZWqXg==" spinCount="100000" sheet="1" objects="1" scenarios="1" formatCells="0" formatColumns="0" formatRows="0"/>
  <mergeCells count="26">
    <mergeCell ref="F56:G56"/>
    <mergeCell ref="H18:N18"/>
    <mergeCell ref="B9:N9"/>
    <mergeCell ref="C15:E15"/>
    <mergeCell ref="C16:E16"/>
    <mergeCell ref="B54:D54"/>
    <mergeCell ref="F55:G55"/>
    <mergeCell ref="E60:G60"/>
    <mergeCell ref="F57:G57"/>
    <mergeCell ref="E59:G59"/>
    <mergeCell ref="C81:E81"/>
    <mergeCell ref="H84:N84"/>
    <mergeCell ref="F58:G58"/>
    <mergeCell ref="B120:D120"/>
    <mergeCell ref="E61:G61"/>
    <mergeCell ref="G112:N112"/>
    <mergeCell ref="F64:G64"/>
    <mergeCell ref="F65:G65"/>
    <mergeCell ref="F66:G66"/>
    <mergeCell ref="F67:G67"/>
    <mergeCell ref="F68:G68"/>
    <mergeCell ref="F69:G69"/>
    <mergeCell ref="F70:G70"/>
    <mergeCell ref="E71:G71"/>
    <mergeCell ref="E73:G73"/>
    <mergeCell ref="C82:E82"/>
  </mergeCells>
  <conditionalFormatting sqref="G127:N127">
    <cfRule type="cellIs" dxfId="3" priority="3" operator="equal">
      <formula>#DIV/0!</formula>
    </cfRule>
  </conditionalFormatting>
  <conditionalFormatting sqref="G138:N138">
    <cfRule type="cellIs" dxfId="2" priority="1" operator="equal">
      <formula>#DIV/0!</formula>
    </cfRule>
  </conditionalFormatting>
  <conditionalFormatting sqref="H61:N63">
    <cfRule type="cellIs" dxfId="1" priority="5" operator="equal">
      <formula>#DIV/0!</formula>
    </cfRule>
  </conditionalFormatting>
  <conditionalFormatting sqref="H73:N74">
    <cfRule type="cellIs" dxfId="0" priority="2" operator="equal">
      <formula>#DIV/0!</formula>
    </cfRule>
  </conditionalFormatting>
  <dataValidations count="1">
    <dataValidation allowBlank="1" showInputMessage="1" showErrorMessage="1" prompt="From LIHTC Rents Tab" sqref="H14" xr:uid="{27CD5198-3CBC-404C-ABCA-474FA014234A}"/>
  </dataValidations>
  <pageMargins left="0.7" right="0.7" top="0.75" bottom="0.75" header="0.3" footer="0.3"/>
  <pageSetup scale="64" orientation="portrait" r:id="rId1"/>
  <headerFooter>
    <oddFooter>&amp;L2020 WSHFC 9% Addendum&amp;R&amp;A, &amp;P</oddFooter>
  </headerFooter>
  <rowBreaks count="1" manualBreakCount="1">
    <brk id="75" max="16383" man="1"/>
  </rowBreaks>
  <ignoredErrors>
    <ignoredError sqref="H90:N96 I24:N44 H98:N101 H97 J97:N97 H108:N110 I107:N107 H103:N106 H102:K102 M102:N102"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233948-003A-4F6F-8AFB-AC623BE59212}">
  <ds:schemaRefs>
    <ds:schemaRef ds:uri="http://schemas.microsoft.com/office/2006/metadata/properties"/>
    <ds:schemaRef ds:uri="http://schemas.microsoft.com/office/infopath/2007/PartnerControls"/>
    <ds:schemaRef ds:uri="1e13aaf3-f8b5-448b-b606-5f59d239d11f"/>
    <ds:schemaRef ds:uri="624f20e9-0351-4655-b3f0-0de013915a58"/>
  </ds:schemaRefs>
</ds:datastoreItem>
</file>

<file path=customXml/itemProps2.xml><?xml version="1.0" encoding="utf-8"?>
<ds:datastoreItem xmlns:ds="http://schemas.openxmlformats.org/officeDocument/2006/customXml" ds:itemID="{926D5EAB-C0BC-43B8-A8E4-74F47E113428}">
  <ds:schemaRefs>
    <ds:schemaRef ds:uri="http://schemas.microsoft.com/sharepoint/v3/contenttype/forms"/>
  </ds:schemaRefs>
</ds:datastoreItem>
</file>

<file path=customXml/itemProps3.xml><?xml version="1.0" encoding="utf-8"?>
<ds:datastoreItem xmlns:ds="http://schemas.openxmlformats.org/officeDocument/2006/customXml" ds:itemID="{7587886E-3867-4C26-B1EC-3FC1C179D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35</vt:i4>
      </vt:variant>
    </vt:vector>
  </HeadingPairs>
  <TitlesOfParts>
    <vt:vector size="51" baseType="lpstr">
      <vt:lpstr>Calc Sheet Helper</vt:lpstr>
      <vt:lpstr>LIHTC Scoring</vt:lpstr>
      <vt:lpstr>_OtherList</vt:lpstr>
      <vt:lpstr>_ScoringList</vt:lpstr>
      <vt:lpstr>_ScoringList_SetAside</vt:lpstr>
      <vt:lpstr>LIHTC Rents</vt:lpstr>
      <vt:lpstr>TDC Limit</vt:lpstr>
      <vt:lpstr>Rents Insert</vt:lpstr>
      <vt:lpstr>LIHTC Pro Forma</vt:lpstr>
      <vt:lpstr>Pro Forma Insert</vt:lpstr>
      <vt:lpstr>OPF YbY Insert</vt:lpstr>
      <vt:lpstr>Applicable Fraction</vt:lpstr>
      <vt:lpstr>Acquisition Credit</vt:lpstr>
      <vt:lpstr>Historic TCs</vt:lpstr>
      <vt:lpstr>Admin Requirements</vt:lpstr>
      <vt:lpstr>Signature Page</vt:lpstr>
      <vt:lpstr>_AdditionalLihUsePeriod</vt:lpstr>
      <vt:lpstr>_SetAsideCombination</vt:lpstr>
      <vt:lpstr>DevFees</vt:lpstr>
      <vt:lpstr>eligible_tribes</vt:lpstr>
      <vt:lpstr>energyEfficiency</vt:lpstr>
      <vt:lpstr>ETO</vt:lpstr>
      <vt:lpstr>federal_funding_sources</vt:lpstr>
      <vt:lpstr>higher_income</vt:lpstr>
      <vt:lpstr>Historic</vt:lpstr>
      <vt:lpstr>Homeless75</vt:lpstr>
      <vt:lpstr>in_within</vt:lpstr>
      <vt:lpstr>Inc_Higher</vt:lpstr>
      <vt:lpstr>Inc_Lower</vt:lpstr>
      <vt:lpstr>Inc_percent</vt:lpstr>
      <vt:lpstr>KC_HTF</vt:lpstr>
      <vt:lpstr>KC_only</vt:lpstr>
      <vt:lpstr>KC_OppArea</vt:lpstr>
      <vt:lpstr>local_funding_counties</vt:lpstr>
      <vt:lpstr>local_funding_sources</vt:lpstr>
      <vt:lpstr>local_funding_types</vt:lpstr>
      <vt:lpstr>location_eff</vt:lpstr>
      <vt:lpstr>lower_income</vt:lpstr>
      <vt:lpstr>npDonation</vt:lpstr>
      <vt:lpstr>NPSponsor</vt:lpstr>
      <vt:lpstr>PBRA_units</vt:lpstr>
      <vt:lpstr>'Acquisition Credit'!Print_Area</vt:lpstr>
      <vt:lpstr>'Admin Requirements'!Print_Area</vt:lpstr>
      <vt:lpstr>'Applicable Fraction'!Print_Area</vt:lpstr>
      <vt:lpstr>'LIHTC Pro Forma'!Print_Area</vt:lpstr>
      <vt:lpstr>'LIHTC Rents'!Print_Area</vt:lpstr>
      <vt:lpstr>'LIHTC Scoring'!Print_Area</vt:lpstr>
      <vt:lpstr>'TDC Limit'!Print_Area</vt:lpstr>
      <vt:lpstr>SpecNeeds20</vt:lpstr>
      <vt:lpstr>TDC_limit</vt:lpstr>
      <vt:lpstr>Years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B. Price</dc:creator>
  <cp:keywords/>
  <dc:description/>
  <cp:lastModifiedBy>Sojung Choi</cp:lastModifiedBy>
  <cp:revision/>
  <dcterms:created xsi:type="dcterms:W3CDTF">2009-05-18T15:05:09Z</dcterms:created>
  <dcterms:modified xsi:type="dcterms:W3CDTF">2026-08-20T00:09:05Z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MediaServiceImageTags">
    <vt:lpwstr/>
  </property>
</Properties>
</file>